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7400" windowHeight="1176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<sst xmlns="http://schemas.openxmlformats.org/spreadsheetml/2006/main" count="498" uniqueCount="218">
  <si>
    <t>NEW JERSEY INSURANCE UNDERWRITING ASSOCIATION</t>
  </si>
  <si>
    <t>POLICY YEAR 2012</t>
  </si>
  <si>
    <t>POLICY YEAR 2011</t>
  </si>
  <si>
    <t>POLICY YEAR 2010</t>
  </si>
  <si>
    <t>TOTAL</t>
  </si>
  <si>
    <t>FIRE</t>
  </si>
  <si>
    <t xml:space="preserve">ALLIED </t>
  </si>
  <si>
    <t>CRIME</t>
  </si>
  <si>
    <t>ALLIED</t>
  </si>
  <si>
    <t>TOTAL LIABILITIES PLUS EQUITY ACCOUNT</t>
  </si>
  <si>
    <t>EQUITY ACCOUNT</t>
  </si>
  <si>
    <t>TOTAL LIABILITIES &amp; RESERVES</t>
  </si>
  <si>
    <t xml:space="preserve">                            TOTAL RESERVES</t>
  </si>
  <si>
    <t xml:space="preserve">     TAXES &amp; FEES </t>
  </si>
  <si>
    <t xml:space="preserve">     ASSOCIATION EXPENSES </t>
  </si>
  <si>
    <t xml:space="preserve">     LOSS EXPENSE- UNALLOCATED</t>
  </si>
  <si>
    <t xml:space="preserve">     LOSS EXPENSE- ALLOCATED</t>
  </si>
  <si>
    <t xml:space="preserve">     LOSS - I.B.N.R</t>
  </si>
  <si>
    <t xml:space="preserve">     LOSS - CASE BASIS</t>
  </si>
  <si>
    <t xml:space="preserve">     UNEARNED PREMIUMS</t>
  </si>
  <si>
    <t>RESERVES</t>
  </si>
  <si>
    <t xml:space="preserve">          TOTAL LIABILITIES</t>
  </si>
  <si>
    <t xml:space="preserve">      CLAIM CHECKS PAYABLE</t>
  </si>
  <si>
    <t xml:space="preserve">      OTHER PAYABLES</t>
  </si>
  <si>
    <t xml:space="preserve">      RETURN PREMIUMS</t>
  </si>
  <si>
    <t xml:space="preserve">      ADVANCE PREMIUMS</t>
  </si>
  <si>
    <t xml:space="preserve">      AMOUNTS HELD FOR OTHERS</t>
  </si>
  <si>
    <t xml:space="preserve">      DEFINED BENEFIT PENSION PLAN</t>
  </si>
  <si>
    <t xml:space="preserve">      POST RETIREMENT BENEFITS (other than pensions)</t>
  </si>
  <si>
    <t>LIABILITIES</t>
  </si>
  <si>
    <t xml:space="preserve">          TOTAL ASSETS</t>
  </si>
  <si>
    <t xml:space="preserve">     PREMIUMS RECEIVABLE</t>
  </si>
  <si>
    <t xml:space="preserve">     EDP - EQUIPMENT &amp; SOFTWARE</t>
  </si>
  <si>
    <t xml:space="preserve">     FURNITURE &amp; EQUIPMENT</t>
  </si>
  <si>
    <t xml:space="preserve">     ACCRUED INTEREST</t>
  </si>
  <si>
    <t xml:space="preserve">     CASH &amp; SHORT-TERM INVESTMENTS</t>
  </si>
  <si>
    <t xml:space="preserve">     STOCKS</t>
  </si>
  <si>
    <t xml:space="preserve">     BONDS</t>
  </si>
  <si>
    <t>ASSETS</t>
  </si>
  <si>
    <t>NET ADMITTED ASSETS</t>
  </si>
  <si>
    <t>NON- ADMITTED ASSETS</t>
  </si>
  <si>
    <t>LEDGER ASSETS</t>
  </si>
  <si>
    <t>BALANCE SHEET</t>
  </si>
  <si>
    <t xml:space="preserve"> </t>
  </si>
  <si>
    <t>CHANGE IN EQUITY</t>
  </si>
  <si>
    <t xml:space="preserve">     CHANGE IN NONADMITTED ASSETS</t>
  </si>
  <si>
    <t xml:space="preserve">     NET EQUITY - PRIOR</t>
  </si>
  <si>
    <r>
      <t xml:space="preserve"> NET GAIN</t>
    </r>
    <r>
      <rPr>
        <sz val="11"/>
        <color indexed="10"/>
        <rFont val="Century Schoolbook"/>
        <family val="1"/>
      </rPr>
      <t xml:space="preserve"> (LOSS)</t>
    </r>
  </si>
  <si>
    <t xml:space="preserve">         TOTAL OTHER INCOME</t>
  </si>
  <si>
    <t xml:space="preserve">       INSTALLMENT SERVICE FEE</t>
  </si>
  <si>
    <r>
      <t xml:space="preserve">       OTHER INCOME </t>
    </r>
  </si>
  <si>
    <t>OTHER INCOME</t>
  </si>
  <si>
    <t xml:space="preserve">         NET INVESTMENT GAIN</t>
  </si>
  <si>
    <t xml:space="preserve">     NET INVESTMENT INCOME EARNED</t>
  </si>
  <si>
    <t>INVESTMENT INCOME</t>
  </si>
  <si>
    <t xml:space="preserve">         TOTAL DEDUCTIONS</t>
  </si>
  <si>
    <t xml:space="preserve">     TAXES &amp; FEES INCURRED</t>
  </si>
  <si>
    <t xml:space="preserve">     OTHER UNDERWRITING EXPENSES</t>
  </si>
  <si>
    <t xml:space="preserve">     COMMISSIONS INCURRED</t>
  </si>
  <si>
    <t xml:space="preserve">     LOSS EXPENSES INCURRED</t>
  </si>
  <si>
    <t xml:space="preserve">     LOSSES INCURRED</t>
  </si>
  <si>
    <t>DEDUCTIONS</t>
  </si>
  <si>
    <t xml:space="preserve">     PREMIUMS EARNED</t>
  </si>
  <si>
    <t>UNDERWRITING INCOME</t>
  </si>
  <si>
    <t>YEAR-TO-DATE</t>
  </si>
  <si>
    <t>QUARTER-TO-DATE</t>
  </si>
  <si>
    <t xml:space="preserve"> INCOME STATEMENT</t>
  </si>
  <si>
    <t>NET CHANGE IN EQUITY</t>
  </si>
  <si>
    <t xml:space="preserve">          TOTAL</t>
  </si>
  <si>
    <t xml:space="preserve">     UNPAID TAXES &amp; FEES</t>
  </si>
  <si>
    <t xml:space="preserve">     UNPAID ASSOCIATION EXPENSES</t>
  </si>
  <si>
    <t xml:space="preserve">     UNPAID LOSSES EXPENSES</t>
  </si>
  <si>
    <t xml:space="preserve">     UNPAID LOSSES</t>
  </si>
  <si>
    <t>PRIOR RESERVES</t>
  </si>
  <si>
    <t xml:space="preserve">     UNPAID LOSS EXPENSES</t>
  </si>
  <si>
    <t>CURRENT RESERVES</t>
  </si>
  <si>
    <t>EQUITY IN ASSETS OF ASSOCIATION</t>
  </si>
  <si>
    <t xml:space="preserve">     NET UNREALIZED GAIN</t>
  </si>
  <si>
    <t xml:space="preserve">     PRIOR NONADMITTED ASSETS</t>
  </si>
  <si>
    <t xml:space="preserve">     CURRENT ACCRUED INTEREST</t>
  </si>
  <si>
    <t>ADD</t>
  </si>
  <si>
    <t xml:space="preserve">     CURRENT NONADMITTED ASSETS</t>
  </si>
  <si>
    <t xml:space="preserve">     PRIOR ACCRUED INTEREST</t>
  </si>
  <si>
    <t>DEDUCT</t>
  </si>
  <si>
    <t>INCREASE (DECREASE)</t>
  </si>
  <si>
    <t xml:space="preserve">     ASSOCIATION EXPENSES</t>
  </si>
  <si>
    <t xml:space="preserve">     COMMISSIONS</t>
  </si>
  <si>
    <t xml:space="preserve">     BOARDS &amp; BUREAUS</t>
  </si>
  <si>
    <t xml:space="preserve">     SURVEYS &amp; UNDERWRITING RPTS</t>
  </si>
  <si>
    <t xml:space="preserve">     INSPECTION AND RATING ISO</t>
  </si>
  <si>
    <t xml:space="preserve">     UNALLOCATED LOSS EXPENSE</t>
  </si>
  <si>
    <t xml:space="preserve">     ALLOCATED LOSS EXPENSE </t>
  </si>
  <si>
    <t xml:space="preserve">     LOSSES PAID</t>
  </si>
  <si>
    <t>EXPENSES PAID</t>
  </si>
  <si>
    <t xml:space="preserve">      NET REALIZED CAPITAL LOSS</t>
  </si>
  <si>
    <t xml:space="preserve">      INVESTMENT INCOME RECEIVED</t>
  </si>
  <si>
    <t xml:space="preserve">      PREMIUMS WRITTEN</t>
  </si>
  <si>
    <t>INCOME RECEIVED</t>
  </si>
  <si>
    <t xml:space="preserve"> EQUITY ACCOUNT</t>
  </si>
  <si>
    <t>Net Loss</t>
  </si>
  <si>
    <t>Net Investment Gain</t>
  </si>
  <si>
    <t>Net Realized Capital Loss</t>
  </si>
  <si>
    <t>Net Investment Income Earned</t>
  </si>
  <si>
    <t>Change in Accrued Interest</t>
  </si>
  <si>
    <t>Prior Accrued Interest</t>
  </si>
  <si>
    <t>Current Accrued Interest</t>
  </si>
  <si>
    <t>Net Investment Income Received</t>
  </si>
  <si>
    <t>Underwriting Loss</t>
  </si>
  <si>
    <t>Total Loss &amp; Underwriting Exp. Incurred</t>
  </si>
  <si>
    <t>Total Other Underwriting Exp. Incurred</t>
  </si>
  <si>
    <t>Other Underwriting Exp. Incurred</t>
  </si>
  <si>
    <t>Change in Other Underwriting Exp. Reserve</t>
  </si>
  <si>
    <t>Prior Reserve</t>
  </si>
  <si>
    <t>Current Reserve</t>
  </si>
  <si>
    <t>Total Underwriting Exp. Paid</t>
  </si>
  <si>
    <t>Other Operating Exp. Paid</t>
  </si>
  <si>
    <t>Board Bureaus &amp; Inspections Paid</t>
  </si>
  <si>
    <t>Commissions Expense Paid</t>
  </si>
  <si>
    <t>Net Taxes &amp; Fees Incurred</t>
  </si>
  <si>
    <t>Change in Reserve for Taxes &amp; Fees</t>
  </si>
  <si>
    <t>Taxes &amp; Fees Paid</t>
  </si>
  <si>
    <t>Total Loss &amp; Loss Exp. Incurred</t>
  </si>
  <si>
    <t>Net Loss Exp. Incurred</t>
  </si>
  <si>
    <t>Change in Loss Exp. Reserve</t>
  </si>
  <si>
    <t>Prior Loss Exp. Reserve</t>
  </si>
  <si>
    <t>Current Loss Exp. Reserve</t>
  </si>
  <si>
    <t>Total Loss Exp. Paid</t>
  </si>
  <si>
    <t>Unallocated Loss Exp. Paid</t>
  </si>
  <si>
    <t>Allocated Loss Exp. Paid</t>
  </si>
  <si>
    <t>Net Losses Incurred</t>
  </si>
  <si>
    <t>Change in Loss Reserve</t>
  </si>
  <si>
    <t>Prior Loss Reserve</t>
  </si>
  <si>
    <t>Current Loss Reserve</t>
  </si>
  <si>
    <t>Net Losses Paid</t>
  </si>
  <si>
    <t>Less Salvage &amp; Subrogation</t>
  </si>
  <si>
    <t>Losses Paid</t>
  </si>
  <si>
    <t>Net Premium Earned</t>
  </si>
  <si>
    <t>Change in Unearned Premium Reserve</t>
  </si>
  <si>
    <t>Prior Unearned Reserve</t>
  </si>
  <si>
    <t>Current Unearned Reserve</t>
  </si>
  <si>
    <t>Premiums Written</t>
  </si>
  <si>
    <t/>
  </si>
  <si>
    <t>EARNED/INCURRED BASIS</t>
  </si>
  <si>
    <t>UNDERWRITING STATEMENT</t>
  </si>
  <si>
    <t>Net Gain</t>
  </si>
  <si>
    <t>*Note: The Terrorism Risk Insurance Program Reauthorization Act of 2007 requires insurers to report direct earned premium for commercial business written.                                                         This amount is shown on page 8.</t>
  </si>
  <si>
    <t xml:space="preserve">            TOTAL</t>
  </si>
  <si>
    <t xml:space="preserve">     CRIME</t>
  </si>
  <si>
    <t xml:space="preserve">     ALLIED </t>
  </si>
  <si>
    <t xml:space="preserve">     FIRE</t>
  </si>
  <si>
    <t>EARNED PREMIUM</t>
  </si>
  <si>
    <t xml:space="preserve">    CRIME</t>
  </si>
  <si>
    <t xml:space="preserve">    ALLIED </t>
  </si>
  <si>
    <t>WRITTEN PREMIUMS</t>
  </si>
  <si>
    <t>*SEE NOTE BELOW</t>
  </si>
  <si>
    <t>STATISTICAL REPORT ON PREMIUMS</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</si>
  <si>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</si>
  <si>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Total TRIA</t>
  </si>
  <si>
    <t>Commercial</t>
  </si>
  <si>
    <t>1-4 Family Tenant-Occupied</t>
  </si>
  <si>
    <t xml:space="preserve">       CRIME</t>
  </si>
  <si>
    <t xml:space="preserve">       ALLIED </t>
  </si>
  <si>
    <t xml:space="preserve">       FIRE</t>
  </si>
  <si>
    <t>INCURRED LOSSES</t>
  </si>
  <si>
    <t>(Including I.B.N.R. Reserves)</t>
  </si>
  <si>
    <t xml:space="preserve">      FIRE</t>
  </si>
  <si>
    <t>Net of Salvage &amp; Subrogation Received</t>
  </si>
  <si>
    <t xml:space="preserve">PAID LOSSES </t>
  </si>
  <si>
    <t xml:space="preserve"> STATISTICAL REPORT ON LOSSES</t>
  </si>
  <si>
    <t>ALAE &amp; ULAE LOSS EXPENSES  INCURRED</t>
  </si>
  <si>
    <t>LOSS EXPENSES PAID                                      (ALAE AND ULAE)</t>
  </si>
  <si>
    <t>(INCLUDES ALLOCATED AND UNALLOCATED LOSS EXPENSES)</t>
  </si>
  <si>
    <t>STATISTICAL REPORT ON LOSS EXPENSES</t>
  </si>
  <si>
    <t>POLICY YEAR 2013</t>
  </si>
  <si>
    <t>PRIOR LOSS  EXPENSE RESERVES                     @ 12-31-12</t>
  </si>
  <si>
    <t>PRIOR LOSS RESERVES (12-31-12)</t>
  </si>
  <si>
    <t>PRIOR UNEARNED PREMIUM RESERVE                     @ 12-31-12</t>
  </si>
  <si>
    <r>
      <t xml:space="preserve">     NET GAIN </t>
    </r>
    <r>
      <rPr>
        <sz val="11"/>
        <color indexed="10"/>
        <rFont val="Century Schoolbook"/>
        <family val="1"/>
      </rPr>
      <t>(LOSS)</t>
    </r>
    <r>
      <rPr>
        <sz val="11"/>
        <rFont val="Century Schoolbook"/>
        <family val="1"/>
      </rPr>
      <t xml:space="preserve"> FOR PERIOD</t>
    </r>
  </si>
  <si>
    <t xml:space="preserve">      PREPAID PENSION ASSET </t>
  </si>
  <si>
    <t xml:space="preserve">      CHANGE IN PENSION OBLIGATION (SSAP 102)</t>
  </si>
  <si>
    <t xml:space="preserve">      CHANGE IN  POST RETIREMENT BENEFITS (SSAP 92)</t>
  </si>
  <si>
    <t xml:space="preserve">     MEMBER ASSESSMENT</t>
  </si>
  <si>
    <t xml:space="preserve">     CHANGE IN PENSION OBLIGATION (SSAP 102)</t>
  </si>
  <si>
    <t xml:space="preserve">     CHANGE IN  POST RETIREMENT BENEFITS (SSAP 92)</t>
  </si>
  <si>
    <r>
      <t xml:space="preserve">                                           </t>
    </r>
    <r>
      <rPr>
        <b/>
        <sz val="9"/>
        <rFont val="Century Schoolbook"/>
        <family val="1"/>
      </rPr>
      <t xml:space="preserve">         1Q12</t>
    </r>
    <r>
      <rPr>
        <sz val="9"/>
        <rFont val="Century Schoolbook"/>
        <family val="1"/>
      </rPr>
      <t xml:space="preserve">         $147,363</t>
    </r>
  </si>
  <si>
    <r>
      <t xml:space="preserve">       1Q13       </t>
    </r>
    <r>
      <rPr>
        <sz val="9"/>
        <rFont val="Century Schoolbook"/>
        <family val="1"/>
      </rPr>
      <t>$138,025</t>
    </r>
  </si>
  <si>
    <r>
      <t xml:space="preserve">                                           </t>
    </r>
    <r>
      <rPr>
        <b/>
        <sz val="9"/>
        <rFont val="Century Schoolbook"/>
        <family val="1"/>
      </rPr>
      <t xml:space="preserve">         2Q12</t>
    </r>
    <r>
      <rPr>
        <sz val="9"/>
        <rFont val="Century Schoolbook"/>
        <family val="1"/>
      </rPr>
      <t xml:space="preserve">         $144,440</t>
    </r>
  </si>
  <si>
    <r>
      <t xml:space="preserve">                                           </t>
    </r>
    <r>
      <rPr>
        <b/>
        <sz val="9"/>
        <rFont val="Century Schoolbook"/>
        <family val="1"/>
      </rPr>
      <t xml:space="preserve">         3Q12</t>
    </r>
    <r>
      <rPr>
        <sz val="9"/>
        <rFont val="Century Schoolbook"/>
        <family val="1"/>
      </rPr>
      <t xml:space="preserve">         $141,933</t>
    </r>
  </si>
  <si>
    <r>
      <t xml:space="preserve">                                           </t>
    </r>
    <r>
      <rPr>
        <b/>
        <sz val="9"/>
        <rFont val="Century Schoolbook"/>
        <family val="1"/>
      </rPr>
      <t xml:space="preserve">         4Q12</t>
    </r>
    <r>
      <rPr>
        <sz val="9"/>
        <rFont val="Century Schoolbook"/>
        <family val="1"/>
      </rPr>
      <t xml:space="preserve">         $141,618</t>
    </r>
  </si>
  <si>
    <t>AT SEPTEMBER 30, 2013</t>
  </si>
  <si>
    <t xml:space="preserve">     NET EQUITY AT SEPTEMBER 30, 2013</t>
  </si>
  <si>
    <t>SEPTEMBER 30, 2013</t>
  </si>
  <si>
    <t>NET EQUITY AT SEPTEMBER 30, 2013</t>
  </si>
  <si>
    <t>QTD PERIOD ENDED SEPTEMBER 30, 2013</t>
  </si>
  <si>
    <t>YTD PERIOD ENDED SEPTEMBER 30, 2013</t>
  </si>
  <si>
    <t>QTD PERIOD ENDING SEPTEMBER 30, 2013</t>
  </si>
  <si>
    <t>YTD PERIOD ENDING SEPTEMBER 30, 2013</t>
  </si>
  <si>
    <t>CURRENT UNEARNED PREMIUM RESERVE              @ 09-30-13</t>
  </si>
  <si>
    <t>CURRENT LOSS EXPENSE RESERVES               @ 09-30-13</t>
  </si>
  <si>
    <t>PRIOR UNEARNED PREMIUM RESERVE                     @ 06-30-13</t>
  </si>
  <si>
    <t>PRIOR LOSS  EXPENSE RESERVES                     @ 06-30-13</t>
  </si>
  <si>
    <t>CURRENT CASE BASIS RESERVES (09-30-13)</t>
  </si>
  <si>
    <t>CURRENT I.B.N.R. RESERVES (09-30-13)</t>
  </si>
  <si>
    <t>PRIOR LOSS RESERVES (06-30-13)</t>
  </si>
  <si>
    <t>09-30-13</t>
  </si>
  <si>
    <t>Othe Income (includes installment service fees)</t>
  </si>
  <si>
    <t>Underwriting Gain</t>
  </si>
  <si>
    <r>
      <t xml:space="preserve"> UNDERWRITING GAIN </t>
    </r>
    <r>
      <rPr>
        <sz val="11"/>
        <color indexed="10"/>
        <rFont val="Century Schoolbook"/>
        <family val="1"/>
      </rPr>
      <t>(LOSS)</t>
    </r>
  </si>
  <si>
    <t xml:space="preserve">     NET REALIZED CAPITAL LOSS</t>
  </si>
  <si>
    <t xml:space="preserve">     PREPAID EXPENSES</t>
  </si>
  <si>
    <t>OTHER CHARGES/ADDITIONS TO EQUITY</t>
  </si>
  <si>
    <t xml:space="preserve">       OTHER INCOME (includes installment service fees)</t>
  </si>
  <si>
    <t xml:space="preserve">     ASSESSMENT RECEIVABLE</t>
  </si>
  <si>
    <t xml:space="preserve">     NET UNREALIZED LOSS</t>
  </si>
  <si>
    <r>
      <t xml:space="preserve">     NET UNREALIZED GAIN</t>
    </r>
    <r>
      <rPr>
        <sz val="11"/>
        <color indexed="10"/>
        <rFont val="Century Schoolbook"/>
        <family val="1"/>
      </rPr>
      <t xml:space="preserve"> (LOSS)</t>
    </r>
  </si>
  <si>
    <r>
      <t xml:space="preserve">       2Q13       </t>
    </r>
    <r>
      <rPr>
        <sz val="9"/>
        <rFont val="Century Schoolbook"/>
        <family val="1"/>
      </rPr>
      <t>$134,123</t>
    </r>
  </si>
  <si>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</si>
  <si>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r>
      <t xml:space="preserve">       3Q13       </t>
    </r>
    <r>
      <rPr>
        <sz val="9"/>
        <rFont val="Century Schoolbook"/>
        <family val="1"/>
      </rPr>
      <t>$132,159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</si>
</sst>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 numFmtId="167" formatCode="&quot;$&quot;#,##0;[Red]&quot;$&quot;#,##0"/>
  </numFmts>
  <fonts count="70">
    <font>
      <sz val="11"/>
      <color theme="1"/>
      <name val="Calibri"/>
      <family val="2"/>
    </font>
    <font>
      <sz val="11"/>
      <color indexed="8"/>
      <name val="Calibri"/>
      <family val="2"/>
    </font>
    <font>
      <sz val="10"/>
      <name val="Arial"/>
      <family val="2"/>
    </font>
    <font>
      <b/>
      <sz val="18"/>
      <name val="Century Schoolbook"/>
      <family val="1"/>
    </font>
    <font>
      <sz val="10"/>
      <name val="Century Schoolbook"/>
      <family val="1"/>
    </font>
    <font>
      <b/>
      <sz val="12"/>
      <name val="Century Schoolbook"/>
      <family val="1"/>
    </font>
    <font>
      <sz val="12"/>
      <name val="Century Schoolbook"/>
      <family val="1"/>
    </font>
    <font>
      <b/>
      <sz val="11"/>
      <name val="Century Schoolbook"/>
      <family val="1"/>
    </font>
    <font>
      <sz val="11"/>
      <name val="Century Schoolbook"/>
      <family val="1"/>
    </font>
    <font>
      <sz val="11"/>
      <color indexed="8"/>
      <name val="Century Schoolbook"/>
      <family val="1"/>
    </font>
    <font>
      <b/>
      <sz val="18"/>
      <color indexed="8"/>
      <name val="Century Schoolbook"/>
      <family val="1"/>
    </font>
    <font>
      <b/>
      <sz val="14"/>
      <color indexed="8"/>
      <name val="Century Schoolbook"/>
      <family val="1"/>
    </font>
    <font>
      <b/>
      <sz val="12"/>
      <color indexed="8"/>
      <name val="Century Schoolbook"/>
      <family val="1"/>
    </font>
    <font>
      <b/>
      <sz val="10"/>
      <color indexed="8"/>
      <name val="Century Schoolbook"/>
      <family val="1"/>
    </font>
    <font>
      <b/>
      <u val="single"/>
      <sz val="11"/>
      <color indexed="8"/>
      <name val="Century Schoolbook"/>
      <family val="1"/>
    </font>
    <font>
      <b/>
      <sz val="11"/>
      <color indexed="8"/>
      <name val="Century Schoolbook"/>
      <family val="1"/>
    </font>
    <font>
      <b/>
      <i/>
      <sz val="10"/>
      <name val="Century Schoolbook"/>
      <family val="1"/>
    </font>
    <font>
      <b/>
      <i/>
      <sz val="11"/>
      <name val="Century Schoolbook"/>
      <family val="1"/>
    </font>
    <font>
      <b/>
      <u val="single"/>
      <sz val="11"/>
      <name val="Century Schoolbook"/>
      <family val="1"/>
    </font>
    <font>
      <b/>
      <sz val="13"/>
      <name val="Century Schoolbook"/>
      <family val="1"/>
    </font>
    <font>
      <b/>
      <sz val="54"/>
      <color indexed="10"/>
      <name val="Calibri"/>
      <family val="2"/>
    </font>
    <font>
      <b/>
      <sz val="15"/>
      <name val="Century Schoolbook"/>
      <family val="1"/>
    </font>
    <font>
      <b/>
      <sz val="14"/>
      <name val="Century Schoolbook"/>
      <family val="1"/>
    </font>
    <font>
      <sz val="9"/>
      <name val="Century Schoolbook"/>
      <family val="1"/>
    </font>
    <font>
      <sz val="11"/>
      <color indexed="10"/>
      <name val="Century Schoolbook"/>
      <family val="1"/>
    </font>
    <font>
      <sz val="13"/>
      <name val="Century Schoolbook"/>
      <family val="1"/>
    </font>
    <font>
      <sz val="16"/>
      <name val="Century Schoolbook"/>
      <family val="1"/>
    </font>
    <font>
      <b/>
      <sz val="20"/>
      <name val="Century Schoolbook"/>
      <family val="1"/>
    </font>
    <font>
      <u val="single"/>
      <sz val="11"/>
      <name val="Century Schoolbook"/>
      <family val="1"/>
    </font>
    <font>
      <sz val="18"/>
      <name val="Century Schoolbook"/>
      <family val="1"/>
    </font>
    <font>
      <sz val="11"/>
      <color indexed="9"/>
      <name val="Century Schoolbook"/>
      <family val="1"/>
    </font>
    <font>
      <sz val="15"/>
      <name val="Century Schoolbook"/>
      <family val="1"/>
    </font>
    <font>
      <sz val="20"/>
      <name val="Century Schoolbook"/>
      <family val="1"/>
    </font>
    <font>
      <b/>
      <sz val="9"/>
      <name val="Century Schoolbook"/>
      <family val="1"/>
    </font>
    <font>
      <b/>
      <u val="single"/>
      <sz val="9"/>
      <name val="Century Schoolbook"/>
      <family val="1"/>
    </font>
    <font>
      <sz val="22"/>
      <name val="Century Schoolbook"/>
      <family val="1"/>
    </font>
    <font>
      <b/>
      <sz val="11"/>
      <color indexed="9"/>
      <name val="Century Schoolboo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style="thin"/>
      <right style="thin"/>
      <top/>
      <bottom/>
    </border>
    <border>
      <left style="thin"/>
      <right style="thin"/>
      <top style="thin"/>
      <bottom/>
    </border>
    <border>
      <left/>
      <right style="thin"/>
      <top style="thin"/>
      <bottom style="double"/>
    </border>
    <border>
      <left/>
      <right style="thin"/>
      <top/>
      <bottom style="thin"/>
    </border>
    <border>
      <left/>
      <right style="thin"/>
      <top/>
      <bottom/>
    </border>
    <border>
      <left/>
      <right style="thin"/>
      <top style="medium"/>
      <bottom/>
    </border>
    <border>
      <left/>
      <right style="thin"/>
      <top style="thin"/>
      <bottom/>
    </border>
    <border>
      <left/>
      <right/>
      <top style="thin"/>
      <bottom style="double"/>
    </border>
    <border>
      <left style="thin"/>
      <right/>
      <top/>
      <bottom style="thin"/>
    </border>
    <border>
      <left/>
      <right style="thin"/>
      <top style="thin"/>
      <bottom style="thin"/>
    </border>
    <border>
      <left style="thin"/>
      <right/>
      <top/>
      <bottom/>
    </border>
    <border>
      <left/>
      <right/>
      <top style="thin"/>
      <bottom/>
    </border>
    <border>
      <left style="thin"/>
      <right/>
      <top style="thin"/>
      <bottom/>
    </border>
    <border>
      <left/>
      <right style="thin"/>
      <top/>
      <bottom style="mediu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9" fillId="0" borderId="0" applyNumberFormat="0" applyBorder="0" applyAlignment="0">
      <protection/>
    </xf>
    <xf numFmtId="0" fontId="10" fillId="0" borderId="0" applyNumberFormat="0" applyBorder="0" applyAlignment="0">
      <protection/>
    </xf>
    <xf numFmtId="0" fontId="11" fillId="0" borderId="0" applyNumberFormat="0" applyBorder="0" applyAlignment="0">
      <protection/>
    </xf>
    <xf numFmtId="0" fontId="12" fillId="0" borderId="0" applyNumberFormat="0" applyBorder="0" applyAlignment="0">
      <protection/>
    </xf>
    <xf numFmtId="0" fontId="13" fillId="0" borderId="0" applyNumberFormat="0" applyBorder="0" applyAlignment="0">
      <protection/>
    </xf>
    <xf numFmtId="0" fontId="14" fillId="0" borderId="0" applyNumberFormat="0" applyBorder="0" applyAlignment="0">
      <protection/>
    </xf>
    <xf numFmtId="0" fontId="15" fillId="0" borderId="0" applyNumberFormat="0" applyBorder="0" applyAlignment="0">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0">
    <xf numFmtId="0" fontId="0" fillId="0" borderId="0" xfId="0" applyFont="1" applyAlignment="1">
      <alignment/>
    </xf>
    <xf numFmtId="0" fontId="8" fillId="0" borderId="0" xfId="80" applyFont="1">
      <alignment/>
      <protection/>
    </xf>
    <xf numFmtId="5" fontId="8" fillId="0" borderId="0" xfId="46" applyNumberFormat="1" applyFont="1" applyAlignment="1">
      <alignment horizontal="right"/>
    </xf>
    <xf numFmtId="0" fontId="16" fillId="0" borderId="0" xfId="80" applyFont="1">
      <alignment/>
      <protection/>
    </xf>
    <xf numFmtId="5" fontId="16" fillId="0" borderId="0" xfId="46" applyNumberFormat="1" applyFont="1" applyAlignment="1" quotePrefix="1">
      <alignment horizontal="right"/>
    </xf>
    <xf numFmtId="5" fontId="16" fillId="0" borderId="0" xfId="46" applyNumberFormat="1" applyFont="1" applyAlignment="1">
      <alignment horizontal="right"/>
    </xf>
    <xf numFmtId="5" fontId="17" fillId="0" borderId="0" xfId="46" applyNumberFormat="1" applyFont="1" applyAlignment="1" quotePrefix="1">
      <alignment horizontal="right"/>
    </xf>
    <xf numFmtId="0" fontId="17" fillId="0" borderId="0" xfId="80" applyFont="1">
      <alignment/>
      <protection/>
    </xf>
    <xf numFmtId="7" fontId="8" fillId="0" borderId="0" xfId="80" applyNumberFormat="1" applyFont="1">
      <alignment/>
      <protection/>
    </xf>
    <xf numFmtId="5" fontId="8" fillId="0" borderId="0" xfId="46" applyNumberFormat="1" applyFont="1" applyFill="1" applyAlignment="1">
      <alignment horizontal="right"/>
    </xf>
    <xf numFmtId="42" fontId="8" fillId="0" borderId="0" xfId="50" applyFont="1" applyFill="1" applyAlignment="1">
      <alignment horizontal="right" wrapText="1"/>
    </xf>
    <xf numFmtId="43" fontId="8" fillId="0" borderId="0" xfId="80" applyNumberFormat="1" applyFont="1">
      <alignment/>
      <protection/>
    </xf>
    <xf numFmtId="5" fontId="8" fillId="0" borderId="0" xfId="46" applyNumberFormat="1" applyFont="1" applyFill="1" applyBorder="1" applyAlignment="1">
      <alignment horizontal="right"/>
    </xf>
    <xf numFmtId="7" fontId="7" fillId="0" borderId="0" xfId="50" applyNumberFormat="1" applyFont="1" applyFill="1" applyBorder="1" applyAlignment="1">
      <alignment horizontal="left"/>
    </xf>
    <xf numFmtId="5" fontId="7" fillId="0" borderId="0" xfId="46" applyNumberFormat="1" applyFont="1" applyFill="1" applyBorder="1" applyAlignment="1">
      <alignment horizontal="right"/>
    </xf>
    <xf numFmtId="7" fontId="8" fillId="0" borderId="0" xfId="50" applyNumberFormat="1" applyFont="1" applyFill="1" applyBorder="1" applyAlignment="1">
      <alignment horizontal="right" wrapText="1"/>
    </xf>
    <xf numFmtId="164" fontId="8" fillId="0" borderId="0" xfId="80" applyNumberFormat="1" applyFont="1">
      <alignment/>
      <protection/>
    </xf>
    <xf numFmtId="5" fontId="8" fillId="0" borderId="0" xfId="80" applyNumberFormat="1" applyFont="1">
      <alignment/>
      <protection/>
    </xf>
    <xf numFmtId="38" fontId="7" fillId="0" borderId="0" xfId="46" applyNumberFormat="1" applyFont="1" applyFill="1" applyBorder="1" applyAlignment="1">
      <alignment horizontal="right"/>
    </xf>
    <xf numFmtId="7" fontId="8" fillId="0" borderId="0" xfId="50" applyNumberFormat="1" applyFont="1" applyFill="1" applyBorder="1" applyAlignment="1">
      <alignment horizontal="left"/>
    </xf>
    <xf numFmtId="7" fontId="18" fillId="0" borderId="0" xfId="50" applyNumberFormat="1" applyFont="1" applyFill="1" applyBorder="1" applyAlignment="1">
      <alignment horizontal="left" wrapText="1"/>
    </xf>
    <xf numFmtId="164" fontId="7" fillId="0" borderId="10" xfId="46" applyNumberFormat="1" applyFont="1" applyFill="1" applyBorder="1" applyAlignment="1">
      <alignment horizontal="right"/>
    </xf>
    <xf numFmtId="7" fontId="7" fillId="0" borderId="0" xfId="50" applyNumberFormat="1" applyFont="1" applyFill="1" applyBorder="1" applyAlignment="1">
      <alignment horizontal="center" wrapText="1"/>
    </xf>
    <xf numFmtId="5" fontId="7" fillId="0" borderId="11" xfId="46" applyNumberFormat="1" applyFont="1" applyFill="1" applyBorder="1" applyAlignment="1">
      <alignment horizontal="right"/>
    </xf>
    <xf numFmtId="164" fontId="7" fillId="0" borderId="0" xfId="46" applyNumberFormat="1" applyFont="1" applyFill="1" applyBorder="1" applyAlignment="1">
      <alignment horizontal="right"/>
    </xf>
    <xf numFmtId="43" fontId="8" fillId="0" borderId="0" xfId="46" applyNumberFormat="1" applyFont="1" applyFill="1" applyBorder="1" applyAlignment="1">
      <alignment horizontal="right"/>
    </xf>
    <xf numFmtId="164" fontId="8" fillId="0" borderId="11" xfId="46" applyNumberFormat="1" applyFont="1" applyFill="1" applyBorder="1" applyAlignment="1">
      <alignment horizontal="right"/>
    </xf>
    <xf numFmtId="164" fontId="8" fillId="0" borderId="0" xfId="46" applyNumberFormat="1" applyFont="1" applyBorder="1" applyAlignment="1">
      <alignment horizontal="right"/>
    </xf>
    <xf numFmtId="38" fontId="8" fillId="0" borderId="0" xfId="80" applyNumberFormat="1" applyFont="1">
      <alignment/>
      <protection/>
    </xf>
    <xf numFmtId="164" fontId="8" fillId="0" borderId="0" xfId="46" applyNumberFormat="1" applyFont="1" applyFill="1" applyBorder="1" applyAlignment="1">
      <alignment horizontal="right"/>
    </xf>
    <xf numFmtId="165" fontId="8" fillId="0" borderId="0" xfId="80" applyNumberFormat="1" applyFont="1" applyBorder="1" applyAlignment="1">
      <alignment horizontal="center"/>
      <protection/>
    </xf>
    <xf numFmtId="5" fontId="8" fillId="0" borderId="0" xfId="46" applyNumberFormat="1" applyFont="1" applyBorder="1" applyAlignment="1">
      <alignment horizontal="right"/>
    </xf>
    <xf numFmtId="5" fontId="7" fillId="0" borderId="12" xfId="46" applyNumberFormat="1" applyFont="1" applyFill="1" applyBorder="1" applyAlignment="1">
      <alignment horizontal="right"/>
    </xf>
    <xf numFmtId="164" fontId="8" fillId="0" borderId="13" xfId="46" applyNumberFormat="1" applyFont="1" applyFill="1" applyBorder="1" applyAlignment="1">
      <alignment horizontal="right"/>
    </xf>
    <xf numFmtId="164" fontId="7" fillId="0" borderId="13" xfId="46" applyNumberFormat="1" applyFont="1" applyFill="1" applyBorder="1" applyAlignment="1">
      <alignment horizontal="right"/>
    </xf>
    <xf numFmtId="43" fontId="7" fillId="0" borderId="13" xfId="46" applyFont="1" applyFill="1" applyBorder="1" applyAlignment="1">
      <alignment horizontal="right"/>
    </xf>
    <xf numFmtId="5" fontId="8" fillId="0" borderId="13" xfId="46" applyNumberFormat="1" applyFont="1" applyFill="1" applyBorder="1" applyAlignment="1">
      <alignment horizontal="right"/>
    </xf>
    <xf numFmtId="5" fontId="8" fillId="0" borderId="14" xfId="46" applyNumberFormat="1" applyFont="1" applyFill="1" applyBorder="1" applyAlignment="1">
      <alignment horizontal="right"/>
    </xf>
    <xf numFmtId="7" fontId="18" fillId="0" borderId="0" xfId="80" applyNumberFormat="1" applyFont="1" applyFill="1" applyBorder="1" applyAlignment="1">
      <alignment horizontal="left" wrapText="1"/>
      <protection/>
    </xf>
    <xf numFmtId="5" fontId="15" fillId="33" borderId="0" xfId="46" applyNumberFormat="1" applyFont="1" applyFill="1" applyBorder="1" applyAlignment="1">
      <alignment horizontal="center" wrapText="1"/>
    </xf>
    <xf numFmtId="7" fontId="8" fillId="0" borderId="0" xfId="80" applyNumberFormat="1" applyFont="1" applyFill="1" applyBorder="1">
      <alignment/>
      <protection/>
    </xf>
    <xf numFmtId="0" fontId="19" fillId="0" borderId="0" xfId="80" applyFont="1">
      <alignment/>
      <protection/>
    </xf>
    <xf numFmtId="7" fontId="19" fillId="0" borderId="0" xfId="80" applyNumberFormat="1" applyFont="1" applyFill="1" applyBorder="1" applyAlignment="1" quotePrefix="1">
      <alignment horizontal="center"/>
      <protection/>
    </xf>
    <xf numFmtId="0" fontId="69" fillId="0" borderId="0" xfId="80" applyFont="1" applyAlignment="1">
      <alignment horizontal="center"/>
      <protection/>
    </xf>
    <xf numFmtId="0" fontId="21" fillId="0" borderId="0" xfId="80" applyFont="1">
      <alignment/>
      <protection/>
    </xf>
    <xf numFmtId="0" fontId="8" fillId="0" borderId="0" xfId="80" applyFont="1" applyBorder="1">
      <alignment/>
      <protection/>
    </xf>
    <xf numFmtId="164" fontId="8" fillId="0" borderId="0" xfId="46" applyNumberFormat="1" applyFont="1" applyBorder="1" applyAlignment="1">
      <alignment/>
    </xf>
    <xf numFmtId="0" fontId="23" fillId="0" borderId="0" xfId="80" applyFont="1" applyBorder="1">
      <alignment/>
      <protection/>
    </xf>
    <xf numFmtId="6" fontId="7" fillId="0" borderId="15" xfId="46" applyNumberFormat="1" applyFont="1" applyBorder="1" applyAlignment="1">
      <alignment/>
    </xf>
    <xf numFmtId="7" fontId="8" fillId="0" borderId="0" xfId="46" applyNumberFormat="1" applyFont="1" applyBorder="1" applyAlignment="1">
      <alignment/>
    </xf>
    <xf numFmtId="7" fontId="7" fillId="0" borderId="0" xfId="80" applyNumberFormat="1" applyFont="1" applyBorder="1">
      <alignment/>
      <protection/>
    </xf>
    <xf numFmtId="7" fontId="8" fillId="0" borderId="16" xfId="46" applyNumberFormat="1" applyFont="1" applyBorder="1" applyAlignment="1">
      <alignment/>
    </xf>
    <xf numFmtId="7" fontId="8" fillId="0" borderId="0" xfId="80" applyNumberFormat="1" applyFont="1" applyBorder="1">
      <alignment/>
      <protection/>
    </xf>
    <xf numFmtId="164" fontId="8" fillId="0" borderId="0" xfId="80" applyNumberFormat="1" applyFont="1" applyBorder="1">
      <alignment/>
      <protection/>
    </xf>
    <xf numFmtId="38" fontId="8" fillId="0" borderId="17" xfId="46" applyNumberFormat="1" applyFont="1" applyBorder="1" applyAlignment="1">
      <alignment/>
    </xf>
    <xf numFmtId="164" fontId="8" fillId="0" borderId="17" xfId="46" applyNumberFormat="1" applyFont="1" applyBorder="1" applyAlignment="1">
      <alignment/>
    </xf>
    <xf numFmtId="38" fontId="8" fillId="0" borderId="11" xfId="46" applyNumberFormat="1" applyFont="1" applyBorder="1" applyAlignment="1">
      <alignment/>
    </xf>
    <xf numFmtId="38" fontId="8" fillId="0" borderId="0" xfId="46" applyNumberFormat="1" applyFont="1" applyBorder="1" applyAlignment="1">
      <alignment/>
    </xf>
    <xf numFmtId="38" fontId="8" fillId="0" borderId="0" xfId="80" applyNumberFormat="1" applyFont="1" applyBorder="1">
      <alignment/>
      <protection/>
    </xf>
    <xf numFmtId="7" fontId="18" fillId="0" borderId="0" xfId="80" applyNumberFormat="1" applyFont="1" applyBorder="1">
      <alignment/>
      <protection/>
    </xf>
    <xf numFmtId="164" fontId="8" fillId="0" borderId="18" xfId="46" applyNumberFormat="1" applyFont="1" applyBorder="1" applyAlignment="1">
      <alignment/>
    </xf>
    <xf numFmtId="164" fontId="8" fillId="0" borderId="16" xfId="46" applyNumberFormat="1" applyFont="1" applyBorder="1" applyAlignment="1">
      <alignment/>
    </xf>
    <xf numFmtId="7" fontId="8" fillId="0" borderId="17" xfId="46" applyNumberFormat="1" applyFont="1" applyBorder="1" applyAlignment="1">
      <alignment/>
    </xf>
    <xf numFmtId="164" fontId="8" fillId="0" borderId="11" xfId="46" applyNumberFormat="1" applyFont="1" applyBorder="1" applyAlignment="1">
      <alignment/>
    </xf>
    <xf numFmtId="5" fontId="7" fillId="0" borderId="17" xfId="46" applyNumberFormat="1" applyFont="1" applyBorder="1" applyAlignment="1">
      <alignment/>
    </xf>
    <xf numFmtId="7" fontId="18" fillId="0" borderId="17" xfId="46" applyNumberFormat="1" applyFont="1" applyBorder="1" applyAlignment="1">
      <alignment/>
    </xf>
    <xf numFmtId="7" fontId="18" fillId="0" borderId="0" xfId="46" applyNumberFormat="1" applyFont="1" applyBorder="1" applyAlignment="1">
      <alignment/>
    </xf>
    <xf numFmtId="7" fontId="18" fillId="0" borderId="19" xfId="46" applyNumberFormat="1" applyFont="1" applyBorder="1" applyAlignment="1">
      <alignment/>
    </xf>
    <xf numFmtId="7" fontId="7" fillId="33" borderId="0" xfId="46" applyNumberFormat="1" applyFont="1" applyFill="1" applyBorder="1" applyAlignment="1">
      <alignment horizontal="centerContinuous"/>
    </xf>
    <xf numFmtId="7" fontId="7" fillId="33" borderId="11" xfId="46" applyNumberFormat="1" applyFont="1" applyFill="1" applyBorder="1" applyAlignment="1">
      <alignment horizontal="centerContinuous"/>
    </xf>
    <xf numFmtId="0" fontId="4" fillId="0" borderId="0" xfId="80" applyFont="1" applyBorder="1">
      <alignment/>
      <protection/>
    </xf>
    <xf numFmtId="7" fontId="4" fillId="0" borderId="0" xfId="46" applyNumberFormat="1" applyFont="1" applyBorder="1" applyAlignment="1">
      <alignment horizontal="centerContinuous"/>
    </xf>
    <xf numFmtId="7" fontId="5" fillId="0" borderId="0" xfId="80" applyNumberFormat="1" applyFont="1" applyBorder="1" applyAlignment="1">
      <alignment horizontal="centerContinuous"/>
      <protection/>
    </xf>
    <xf numFmtId="0" fontId="22" fillId="0" borderId="0" xfId="80" applyFont="1">
      <alignment/>
      <protection/>
    </xf>
    <xf numFmtId="0" fontId="7" fillId="0" borderId="0" xfId="80" applyFont="1" applyBorder="1">
      <alignment/>
      <protection/>
    </xf>
    <xf numFmtId="0" fontId="4" fillId="0" borderId="0" xfId="80" applyFont="1" applyFill="1" applyBorder="1">
      <alignment/>
      <protection/>
    </xf>
    <xf numFmtId="164" fontId="4" fillId="0" borderId="0" xfId="46" applyNumberFormat="1" applyFont="1" applyFill="1" applyBorder="1" applyAlignment="1">
      <alignment horizontal="right"/>
    </xf>
    <xf numFmtId="164" fontId="4" fillId="0" borderId="0" xfId="46" applyNumberFormat="1" applyFont="1" applyFill="1" applyBorder="1" applyAlignment="1">
      <alignment/>
    </xf>
    <xf numFmtId="164" fontId="4" fillId="0" borderId="0" xfId="80" applyNumberFormat="1" applyFont="1" applyFill="1" applyBorder="1">
      <alignment/>
      <protection/>
    </xf>
    <xf numFmtId="0" fontId="8" fillId="0" borderId="0" xfId="80" applyFont="1" applyFill="1" applyBorder="1">
      <alignment/>
      <protection/>
    </xf>
    <xf numFmtId="164" fontId="8" fillId="0" borderId="0" xfId="46" applyNumberFormat="1" applyFont="1" applyFill="1" applyBorder="1" applyAlignment="1">
      <alignment/>
    </xf>
    <xf numFmtId="164" fontId="8" fillId="0" borderId="0" xfId="80" applyNumberFormat="1" applyFont="1" applyFill="1" applyBorder="1">
      <alignment/>
      <protection/>
    </xf>
    <xf numFmtId="164" fontId="8" fillId="0" borderId="0" xfId="80" applyNumberFormat="1" applyFont="1" applyFill="1" applyBorder="1" applyAlignment="1">
      <alignment horizontal="left" wrapText="1"/>
      <protection/>
    </xf>
    <xf numFmtId="0" fontId="8" fillId="0" borderId="0" xfId="80" applyFont="1" applyFill="1" applyBorder="1" applyAlignment="1">
      <alignment horizontal="left" wrapText="1"/>
      <protection/>
    </xf>
    <xf numFmtId="43" fontId="8" fillId="0" borderId="0" xfId="80" applyNumberFormat="1" applyFont="1" applyFill="1" applyBorder="1">
      <alignment/>
      <protection/>
    </xf>
    <xf numFmtId="6" fontId="7" fillId="0" borderId="20" xfId="46" applyNumberFormat="1" applyFont="1" applyFill="1" applyBorder="1" applyAlignment="1">
      <alignment/>
    </xf>
    <xf numFmtId="43" fontId="7" fillId="0" borderId="0" xfId="80" applyNumberFormat="1" applyFont="1" applyFill="1" applyBorder="1">
      <alignment/>
      <protection/>
    </xf>
    <xf numFmtId="164" fontId="7" fillId="0" borderId="20" xfId="46" applyNumberFormat="1" applyFont="1" applyFill="1" applyBorder="1" applyAlignment="1">
      <alignment/>
    </xf>
    <xf numFmtId="164" fontId="8" fillId="0" borderId="10" xfId="46" applyNumberFormat="1" applyFont="1" applyFill="1" applyBorder="1" applyAlignment="1">
      <alignment/>
    </xf>
    <xf numFmtId="164" fontId="8" fillId="0" borderId="0" xfId="46" applyNumberFormat="1" applyFont="1" applyFill="1" applyBorder="1" applyAlignment="1">
      <alignment/>
    </xf>
    <xf numFmtId="164" fontId="7" fillId="0" borderId="0" xfId="46" applyNumberFormat="1" applyFont="1" applyFill="1" applyBorder="1" applyAlignment="1">
      <alignment/>
    </xf>
    <xf numFmtId="5" fontId="8" fillId="0" borderId="0" xfId="80" applyNumberFormat="1" applyFont="1" applyFill="1" applyBorder="1">
      <alignment/>
      <protection/>
    </xf>
    <xf numFmtId="164" fontId="18" fillId="0" borderId="0" xfId="46" applyNumberFormat="1" applyFont="1" applyFill="1" applyBorder="1" applyAlignment="1">
      <alignment/>
    </xf>
    <xf numFmtId="43" fontId="18" fillId="0" borderId="0" xfId="80" applyNumberFormat="1" applyFont="1" applyFill="1" applyBorder="1">
      <alignment/>
      <protection/>
    </xf>
    <xf numFmtId="164" fontId="7" fillId="0" borderId="10" xfId="46" applyNumberFormat="1" applyFont="1" applyFill="1" applyBorder="1" applyAlignment="1">
      <alignment/>
    </xf>
    <xf numFmtId="43" fontId="8" fillId="0" borderId="0" xfId="80" applyNumberFormat="1" applyFont="1" applyFill="1" applyBorder="1" applyAlignment="1">
      <alignment horizontal="left" wrapText="1"/>
      <protection/>
    </xf>
    <xf numFmtId="43" fontId="18" fillId="0" borderId="0" xfId="80" applyNumberFormat="1" applyFont="1" applyFill="1" applyBorder="1" applyAlignment="1">
      <alignment horizontal="left" wrapText="1"/>
      <protection/>
    </xf>
    <xf numFmtId="38" fontId="8" fillId="0" borderId="0" xfId="46" applyNumberFormat="1" applyFont="1" applyFill="1" applyBorder="1" applyAlignment="1">
      <alignment/>
    </xf>
    <xf numFmtId="164" fontId="18" fillId="0" borderId="0" xfId="46" applyNumberFormat="1" applyFont="1" applyFill="1" applyBorder="1" applyAlignment="1">
      <alignment wrapText="1"/>
    </xf>
    <xf numFmtId="164" fontId="18" fillId="0" borderId="0" xfId="46" applyNumberFormat="1" applyFont="1" applyFill="1" applyBorder="1" applyAlignment="1">
      <alignment horizontal="left" wrapText="1"/>
    </xf>
    <xf numFmtId="14" fontId="8" fillId="0" borderId="0" xfId="80" applyNumberFormat="1" applyFont="1" applyFill="1" applyBorder="1">
      <alignment/>
      <protection/>
    </xf>
    <xf numFmtId="43" fontId="8" fillId="0" borderId="0" xfId="80" applyNumberFormat="1" applyFont="1" applyFill="1" applyBorder="1" applyAlignment="1">
      <alignment horizontal="left"/>
      <protection/>
    </xf>
    <xf numFmtId="43" fontId="8" fillId="0" borderId="0" xfId="80" applyNumberFormat="1" applyFont="1" applyFill="1" applyBorder="1" applyAlignment="1">
      <alignment/>
      <protection/>
    </xf>
    <xf numFmtId="6" fontId="8" fillId="0" borderId="0" xfId="51" applyNumberFormat="1" applyFont="1" applyFill="1" applyBorder="1" applyAlignment="1">
      <alignment/>
    </xf>
    <xf numFmtId="164" fontId="18" fillId="0" borderId="0" xfId="80" applyNumberFormat="1" applyFont="1" applyFill="1" applyBorder="1" applyAlignment="1">
      <alignment horizontal="left" wrapText="1"/>
      <protection/>
    </xf>
    <xf numFmtId="0" fontId="7" fillId="0" borderId="0" xfId="80" applyFont="1" applyFill="1" applyBorder="1" applyAlignment="1">
      <alignment horizontal="left" wrapText="1"/>
      <protection/>
    </xf>
    <xf numFmtId="164" fontId="13" fillId="33" borderId="0" xfId="46" applyNumberFormat="1" applyFont="1" applyFill="1" applyBorder="1" applyAlignment="1">
      <alignment horizontal="center" wrapText="1"/>
    </xf>
    <xf numFmtId="164" fontId="13" fillId="33" borderId="0" xfId="46" applyNumberFormat="1" applyFont="1" applyFill="1" applyAlignment="1">
      <alignment horizontal="center" wrapText="1"/>
    </xf>
    <xf numFmtId="43" fontId="7" fillId="0" borderId="0" xfId="80" applyNumberFormat="1" applyFont="1" applyFill="1" applyBorder="1" applyAlignment="1">
      <alignment horizontal="left" wrapText="1"/>
      <protection/>
    </xf>
    <xf numFmtId="0" fontId="25" fillId="0" borderId="0" xfId="80" applyFont="1" applyFill="1" applyBorder="1">
      <alignment/>
      <protection/>
    </xf>
    <xf numFmtId="164" fontId="25" fillId="0" borderId="0" xfId="46" applyNumberFormat="1" applyFont="1" applyFill="1" applyBorder="1" applyAlignment="1">
      <alignment horizontal="centerContinuous"/>
    </xf>
    <xf numFmtId="164" fontId="25" fillId="0" borderId="0" xfId="46" applyNumberFormat="1" applyFont="1" applyBorder="1" applyAlignment="1">
      <alignment horizontal="centerContinuous"/>
    </xf>
    <xf numFmtId="164" fontId="22" fillId="0" borderId="0" xfId="46" applyNumberFormat="1" applyFont="1" applyFill="1" applyBorder="1" applyAlignment="1">
      <alignment horizontal="centerContinuous"/>
    </xf>
    <xf numFmtId="164" fontId="22" fillId="0" borderId="0" xfId="80" applyNumberFormat="1" applyFont="1" applyFill="1" applyBorder="1" applyAlignment="1">
      <alignment horizontal="centerContinuous"/>
      <protection/>
    </xf>
    <xf numFmtId="43" fontId="22" fillId="0" borderId="0" xfId="80" applyNumberFormat="1" applyFont="1" applyFill="1" applyBorder="1" applyAlignment="1">
      <alignment horizontal="centerContinuous"/>
      <protection/>
    </xf>
    <xf numFmtId="0" fontId="6" fillId="0" borderId="0" xfId="80" applyFont="1" applyFill="1" applyBorder="1">
      <alignment/>
      <protection/>
    </xf>
    <xf numFmtId="0" fontId="22" fillId="0" borderId="0" xfId="80" applyFont="1" applyAlignment="1">
      <alignment/>
      <protection/>
    </xf>
    <xf numFmtId="0" fontId="26" fillId="0" borderId="0" xfId="80" applyFont="1" applyFill="1" applyBorder="1">
      <alignment/>
      <protection/>
    </xf>
    <xf numFmtId="164" fontId="25" fillId="0" borderId="0" xfId="46" applyNumberFormat="1" applyFont="1" applyFill="1" applyBorder="1" applyAlignment="1">
      <alignment horizontal="center"/>
    </xf>
    <xf numFmtId="164" fontId="25" fillId="0" borderId="0" xfId="46" applyNumberFormat="1" applyFont="1" applyBorder="1" applyAlignment="1">
      <alignment horizontal="center"/>
    </xf>
    <xf numFmtId="164" fontId="22" fillId="0" borderId="0" xfId="46" applyNumberFormat="1" applyFont="1" applyFill="1" applyBorder="1" applyAlignment="1">
      <alignment horizontal="center"/>
    </xf>
    <xf numFmtId="164" fontId="22" fillId="0" borderId="0" xfId="80" applyNumberFormat="1" applyFont="1" applyFill="1" applyBorder="1" applyAlignment="1">
      <alignment horizontal="center"/>
      <protection/>
    </xf>
    <xf numFmtId="164" fontId="4" fillId="0" borderId="0" xfId="46" applyNumberFormat="1" applyFont="1" applyBorder="1" applyAlignment="1">
      <alignment/>
    </xf>
    <xf numFmtId="43" fontId="4" fillId="0" borderId="0" xfId="46" applyNumberFormat="1" applyFont="1" applyBorder="1" applyAlignment="1">
      <alignment/>
    </xf>
    <xf numFmtId="0" fontId="4" fillId="0" borderId="0" xfId="80" applyFont="1" applyBorder="1" applyAlignment="1">
      <alignment wrapText="1"/>
      <protection/>
    </xf>
    <xf numFmtId="43" fontId="8" fillId="0" borderId="0" xfId="46" applyNumberFormat="1" applyFont="1" applyBorder="1" applyAlignment="1">
      <alignment/>
    </xf>
    <xf numFmtId="0" fontId="8" fillId="0" borderId="0" xfId="80" applyFont="1" applyBorder="1" applyAlignment="1">
      <alignment wrapText="1"/>
      <protection/>
    </xf>
    <xf numFmtId="0" fontId="8" fillId="0" borderId="0" xfId="80" applyFont="1" applyBorder="1" applyAlignment="1">
      <alignment horizontal="left" wrapText="1"/>
      <protection/>
    </xf>
    <xf numFmtId="43" fontId="8" fillId="0" borderId="0" xfId="46" applyNumberFormat="1" applyFont="1" applyBorder="1" applyAlignment="1">
      <alignment horizontal="right"/>
    </xf>
    <xf numFmtId="43" fontId="7" fillId="0" borderId="0" xfId="46" applyNumberFormat="1" applyFont="1" applyBorder="1" applyAlignment="1">
      <alignment horizontal="right"/>
    </xf>
    <xf numFmtId="43" fontId="8" fillId="0" borderId="0" xfId="46" applyNumberFormat="1" applyFont="1" applyBorder="1" applyAlignment="1">
      <alignment horizontal="left"/>
    </xf>
    <xf numFmtId="6" fontId="8" fillId="0" borderId="0" xfId="46" applyNumberFormat="1" applyFont="1" applyBorder="1" applyAlignment="1">
      <alignment horizontal="right"/>
    </xf>
    <xf numFmtId="43" fontId="8" fillId="0" borderId="0" xfId="80" applyNumberFormat="1" applyFont="1" applyBorder="1">
      <alignment/>
      <protection/>
    </xf>
    <xf numFmtId="6" fontId="8" fillId="0" borderId="0" xfId="80" applyNumberFormat="1" applyFont="1" applyBorder="1">
      <alignment/>
      <protection/>
    </xf>
    <xf numFmtId="6" fontId="7" fillId="0" borderId="16" xfId="46" applyNumberFormat="1" applyFont="1" applyFill="1" applyBorder="1" applyAlignment="1">
      <alignment horizontal="right"/>
    </xf>
    <xf numFmtId="164" fontId="8" fillId="0" borderId="11" xfId="46" applyNumberFormat="1" applyFont="1" applyBorder="1" applyAlignment="1">
      <alignment horizontal="right"/>
    </xf>
    <xf numFmtId="164" fontId="8" fillId="0" borderId="21" xfId="46" applyNumberFormat="1" applyFont="1" applyBorder="1" applyAlignment="1">
      <alignment horizontal="right"/>
    </xf>
    <xf numFmtId="43" fontId="7" fillId="0" borderId="21" xfId="80" applyNumberFormat="1" applyFont="1" applyBorder="1" applyAlignment="1">
      <alignment horizontal="center" wrapText="1"/>
      <protection/>
    </xf>
    <xf numFmtId="164" fontId="8" fillId="0" borderId="22" xfId="46" applyNumberFormat="1" applyFont="1" applyFill="1" applyBorder="1" applyAlignment="1">
      <alignment horizontal="right"/>
    </xf>
    <xf numFmtId="164" fontId="8" fillId="0" borderId="23" xfId="46" applyNumberFormat="1" applyFont="1" applyBorder="1" applyAlignment="1">
      <alignment horizontal="right"/>
    </xf>
    <xf numFmtId="43" fontId="8" fillId="0" borderId="23" xfId="80" applyNumberFormat="1" applyFont="1" applyBorder="1" applyAlignment="1">
      <alignment horizontal="left" wrapText="1"/>
      <protection/>
    </xf>
    <xf numFmtId="164" fontId="8" fillId="0" borderId="16" xfId="46" applyNumberFormat="1" applyFont="1" applyFill="1" applyBorder="1" applyAlignment="1">
      <alignment horizontal="right"/>
    </xf>
    <xf numFmtId="43" fontId="7" fillId="0" borderId="23" xfId="80" applyNumberFormat="1" applyFont="1" applyBorder="1" applyAlignment="1">
      <alignment horizontal="center" wrapText="1"/>
      <protection/>
    </xf>
    <xf numFmtId="38" fontId="8" fillId="0" borderId="16" xfId="46" applyNumberFormat="1" applyFont="1" applyFill="1" applyBorder="1" applyAlignment="1">
      <alignment horizontal="right"/>
    </xf>
    <xf numFmtId="164" fontId="8" fillId="0" borderId="17" xfId="46" applyNumberFormat="1" applyFont="1" applyFill="1" applyBorder="1" applyAlignment="1">
      <alignment horizontal="right"/>
    </xf>
    <xf numFmtId="6" fontId="7" fillId="0" borderId="17" xfId="46" applyNumberFormat="1" applyFont="1" applyFill="1" applyBorder="1" applyAlignment="1">
      <alignment horizontal="right"/>
    </xf>
    <xf numFmtId="37" fontId="8" fillId="0" borderId="0" xfId="80" applyNumberFormat="1" applyFont="1" applyBorder="1">
      <alignment/>
      <protection/>
    </xf>
    <xf numFmtId="164" fontId="7" fillId="0" borderId="0" xfId="46" applyNumberFormat="1" applyFont="1" applyBorder="1" applyAlignment="1">
      <alignment/>
    </xf>
    <xf numFmtId="164" fontId="7" fillId="0" borderId="0" xfId="46" applyNumberFormat="1" applyFont="1" applyBorder="1" applyAlignment="1">
      <alignment horizontal="right"/>
    </xf>
    <xf numFmtId="164" fontId="28" fillId="0" borderId="23" xfId="46" applyNumberFormat="1" applyFont="1" applyBorder="1" applyAlignment="1">
      <alignment horizontal="right"/>
    </xf>
    <xf numFmtId="5" fontId="7" fillId="0" borderId="16" xfId="46" applyNumberFormat="1" applyFont="1" applyFill="1" applyBorder="1" applyAlignment="1">
      <alignment horizontal="right"/>
    </xf>
    <xf numFmtId="43" fontId="7" fillId="0" borderId="24" xfId="46" applyNumberFormat="1" applyFont="1" applyBorder="1" applyAlignment="1">
      <alignment horizontal="centerContinuous"/>
    </xf>
    <xf numFmtId="43" fontId="7" fillId="0" borderId="25" xfId="46" applyNumberFormat="1" applyFont="1" applyBorder="1" applyAlignment="1">
      <alignment horizontal="centerContinuous"/>
    </xf>
    <xf numFmtId="43" fontId="8" fillId="0" borderId="25" xfId="80" applyNumberFormat="1" applyFont="1" applyBorder="1" applyAlignment="1">
      <alignment horizontal="center" wrapText="1"/>
      <protection/>
    </xf>
    <xf numFmtId="43" fontId="7" fillId="33" borderId="16" xfId="46" applyNumberFormat="1" applyFont="1" applyFill="1" applyBorder="1" applyAlignment="1">
      <alignment horizontal="centerContinuous"/>
    </xf>
    <xf numFmtId="43" fontId="7" fillId="33" borderId="11" xfId="46" applyNumberFormat="1" applyFont="1" applyFill="1" applyBorder="1" applyAlignment="1">
      <alignment horizontal="centerContinuous"/>
    </xf>
    <xf numFmtId="43" fontId="7" fillId="33" borderId="21" xfId="46" applyNumberFormat="1" applyFont="1" applyFill="1" applyBorder="1" applyAlignment="1">
      <alignment horizontal="centerContinuous"/>
    </xf>
    <xf numFmtId="43" fontId="8" fillId="0" borderId="23" xfId="80" applyNumberFormat="1" applyFont="1" applyBorder="1" applyAlignment="1">
      <alignment horizontal="center" wrapText="1"/>
      <protection/>
    </xf>
    <xf numFmtId="43" fontId="8" fillId="33" borderId="19" xfId="46" applyNumberFormat="1" applyFont="1" applyFill="1" applyBorder="1" applyAlignment="1">
      <alignment horizontal="centerContinuous"/>
    </xf>
    <xf numFmtId="14" fontId="7" fillId="33" borderId="24" xfId="46" applyNumberFormat="1" applyFont="1" applyFill="1" applyBorder="1" applyAlignment="1" quotePrefix="1">
      <alignment horizontal="centerContinuous" wrapText="1"/>
    </xf>
    <xf numFmtId="43" fontId="7" fillId="33" borderId="25" xfId="46" applyNumberFormat="1" applyFont="1" applyFill="1" applyBorder="1" applyAlignment="1" quotePrefix="1">
      <alignment horizontal="centerContinuous"/>
    </xf>
    <xf numFmtId="43" fontId="8" fillId="0" borderId="17" xfId="46" applyNumberFormat="1" applyFont="1" applyBorder="1" applyAlignment="1">
      <alignment horizontal="centerContinuous"/>
    </xf>
    <xf numFmtId="43" fontId="8" fillId="0" borderId="0" xfId="46" applyNumberFormat="1" applyFont="1" applyBorder="1" applyAlignment="1">
      <alignment horizontal="centerContinuous"/>
    </xf>
    <xf numFmtId="43" fontId="8" fillId="0" borderId="23" xfId="80" applyNumberFormat="1" applyFont="1" applyBorder="1" applyAlignment="1" quotePrefix="1">
      <alignment wrapText="1"/>
      <protection/>
    </xf>
    <xf numFmtId="0" fontId="6" fillId="0" borderId="0" xfId="80" applyFont="1" applyBorder="1">
      <alignment/>
      <protection/>
    </xf>
    <xf numFmtId="164" fontId="6" fillId="0" borderId="0" xfId="46" applyNumberFormat="1" applyFont="1" applyBorder="1" applyAlignment="1">
      <alignment/>
    </xf>
    <xf numFmtId="43" fontId="22" fillId="0" borderId="23" xfId="80" applyNumberFormat="1" applyFont="1" applyBorder="1" applyAlignment="1">
      <alignment horizontal="centerContinuous"/>
      <protection/>
    </xf>
    <xf numFmtId="0" fontId="29" fillId="0" borderId="0" xfId="80" applyFont="1" applyBorder="1">
      <alignment/>
      <protection/>
    </xf>
    <xf numFmtId="164" fontId="29" fillId="0" borderId="0" xfId="46" applyNumberFormat="1" applyFont="1" applyBorder="1" applyAlignment="1">
      <alignment/>
    </xf>
    <xf numFmtId="0" fontId="6" fillId="0" borderId="0" xfId="80" applyFont="1">
      <alignment/>
      <protection/>
    </xf>
    <xf numFmtId="164" fontId="6" fillId="0" borderId="0" xfId="46" applyNumberFormat="1" applyFont="1" applyAlignment="1">
      <alignment/>
    </xf>
    <xf numFmtId="164" fontId="8" fillId="0" borderId="0" xfId="46" applyNumberFormat="1" applyFont="1" applyAlignment="1">
      <alignment/>
    </xf>
    <xf numFmtId="6" fontId="7" fillId="0" borderId="20" xfId="46" applyNumberFormat="1" applyFont="1" applyFill="1" applyBorder="1" applyAlignment="1">
      <alignment horizontal="right"/>
    </xf>
    <xf numFmtId="7" fontId="7" fillId="0" borderId="0" xfId="80" applyNumberFormat="1" applyFont="1" applyFill="1" applyAlignment="1">
      <alignment horizontal="center"/>
      <protection/>
    </xf>
    <xf numFmtId="164" fontId="7" fillId="0" borderId="0" xfId="46" applyNumberFormat="1" applyFont="1" applyAlignment="1">
      <alignment/>
    </xf>
    <xf numFmtId="7" fontId="8" fillId="0" borderId="0" xfId="80" applyNumberFormat="1" applyFont="1" applyFill="1" applyBorder="1" applyAlignment="1">
      <alignment horizontal="left"/>
      <protection/>
    </xf>
    <xf numFmtId="164" fontId="8" fillId="0" borderId="0" xfId="46" applyNumberFormat="1" applyFont="1" applyFill="1" applyAlignment="1">
      <alignment horizontal="right"/>
    </xf>
    <xf numFmtId="7" fontId="8" fillId="0" borderId="0" xfId="80" applyNumberFormat="1" applyFont="1" applyFill="1">
      <alignment/>
      <protection/>
    </xf>
    <xf numFmtId="7" fontId="7" fillId="0" borderId="0" xfId="80" applyNumberFormat="1" applyFont="1" applyFill="1" applyAlignment="1">
      <alignment horizontal="center" wrapText="1"/>
      <protection/>
    </xf>
    <xf numFmtId="38" fontId="30" fillId="0" borderId="0" xfId="80" applyNumberFormat="1" applyFont="1">
      <alignment/>
      <protection/>
    </xf>
    <xf numFmtId="164" fontId="30" fillId="0" borderId="0" xfId="46" applyNumberFormat="1" applyFont="1" applyAlignment="1">
      <alignment/>
    </xf>
    <xf numFmtId="7" fontId="30" fillId="0" borderId="0" xfId="80" applyNumberFormat="1" applyFont="1" applyFill="1">
      <alignment/>
      <protection/>
    </xf>
    <xf numFmtId="164" fontId="7" fillId="0" borderId="20" xfId="46" applyNumberFormat="1" applyFont="1" applyBorder="1" applyAlignment="1">
      <alignment horizontal="right"/>
    </xf>
    <xf numFmtId="164" fontId="8" fillId="0" borderId="10" xfId="46" applyNumberFormat="1" applyFont="1" applyFill="1" applyBorder="1" applyAlignment="1">
      <alignment horizontal="right"/>
    </xf>
    <xf numFmtId="164" fontId="30" fillId="0" borderId="0" xfId="46" applyNumberFormat="1" applyFont="1" applyFill="1" applyAlignment="1">
      <alignment horizontal="right"/>
    </xf>
    <xf numFmtId="164" fontId="7" fillId="0" borderId="20" xfId="46" applyNumberFormat="1" applyFont="1" applyBorder="1" applyAlignment="1">
      <alignment/>
    </xf>
    <xf numFmtId="43" fontId="7" fillId="0" borderId="10" xfId="46" applyNumberFormat="1" applyFont="1" applyBorder="1" applyAlignment="1">
      <alignment/>
    </xf>
    <xf numFmtId="43" fontId="7" fillId="0" borderId="0" xfId="46" applyNumberFormat="1" applyFont="1" applyAlignment="1">
      <alignment/>
    </xf>
    <xf numFmtId="38" fontId="8" fillId="0" borderId="0" xfId="46" applyNumberFormat="1" applyFont="1" applyAlignment="1">
      <alignment/>
    </xf>
    <xf numFmtId="164" fontId="8" fillId="0" borderId="0" xfId="46" applyNumberFormat="1" applyFont="1" applyAlignment="1">
      <alignment/>
    </xf>
    <xf numFmtId="0" fontId="7" fillId="0" borderId="0" xfId="80" applyFont="1" applyAlignment="1">
      <alignment horizontal="left" wrapText="1"/>
      <protection/>
    </xf>
    <xf numFmtId="7" fontId="8" fillId="0" borderId="0" xfId="46" applyNumberFormat="1" applyFont="1" applyFill="1" applyAlignment="1">
      <alignment/>
    </xf>
    <xf numFmtId="7" fontId="7" fillId="0" borderId="0" xfId="80" applyNumberFormat="1" applyFont="1" applyFill="1" applyAlignment="1">
      <alignment horizontal="left" wrapText="1"/>
      <protection/>
    </xf>
    <xf numFmtId="7" fontId="15" fillId="33" borderId="0" xfId="46" applyNumberFormat="1" applyFont="1" applyFill="1" applyAlignment="1">
      <alignment horizontal="center" wrapText="1"/>
    </xf>
    <xf numFmtId="164" fontId="15" fillId="33" borderId="0" xfId="46" applyNumberFormat="1" applyFont="1" applyFill="1" applyAlignment="1">
      <alignment horizontal="centerContinuous" wrapText="1"/>
    </xf>
    <xf numFmtId="7" fontId="6" fillId="0" borderId="0" xfId="46" applyNumberFormat="1" applyFont="1" applyFill="1" applyAlignment="1">
      <alignment horizontal="centerContinuous"/>
    </xf>
    <xf numFmtId="7" fontId="6" fillId="0" borderId="0" xfId="80" applyNumberFormat="1" applyFont="1" applyFill="1" applyAlignment="1">
      <alignment horizontal="centerContinuous"/>
      <protection/>
    </xf>
    <xf numFmtId="7" fontId="6" fillId="0" borderId="0" xfId="46" applyNumberFormat="1" applyFont="1" applyAlignment="1">
      <alignment horizontal="centerContinuous"/>
    </xf>
    <xf numFmtId="7" fontId="5" fillId="0" borderId="0" xfId="46" applyNumberFormat="1" applyFont="1" applyFill="1" applyAlignment="1">
      <alignment horizontal="centerContinuous"/>
    </xf>
    <xf numFmtId="7" fontId="5" fillId="0" borderId="0" xfId="80" applyNumberFormat="1" applyFont="1" applyFill="1" applyAlignment="1">
      <alignment horizontal="centerContinuous"/>
      <protection/>
    </xf>
    <xf numFmtId="0" fontId="31" fillId="0" borderId="0" xfId="80" applyFont="1">
      <alignment/>
      <protection/>
    </xf>
    <xf numFmtId="7" fontId="8" fillId="0" borderId="0" xfId="46" applyNumberFormat="1" applyFont="1" applyAlignment="1">
      <alignment horizontal="centerContinuous"/>
    </xf>
    <xf numFmtId="7" fontId="4" fillId="0" borderId="0" xfId="46" applyNumberFormat="1" applyFont="1" applyAlignment="1">
      <alignment horizontal="centerContinuous"/>
    </xf>
    <xf numFmtId="7" fontId="22" fillId="0" borderId="0" xfId="80" applyNumberFormat="1" applyFont="1" applyFill="1" applyAlignment="1">
      <alignment horizontal="centerContinuous"/>
      <protection/>
    </xf>
    <xf numFmtId="0" fontId="32" fillId="0" borderId="0" xfId="80" applyFont="1">
      <alignment/>
      <protection/>
    </xf>
    <xf numFmtId="7" fontId="32" fillId="0" borderId="0" xfId="46" applyNumberFormat="1" applyFont="1" applyAlignment="1">
      <alignment horizontal="centerContinuous"/>
    </xf>
    <xf numFmtId="7" fontId="27" fillId="0" borderId="0" xfId="46" applyNumberFormat="1" applyFont="1" applyFill="1" applyAlignment="1">
      <alignment horizontal="centerContinuous"/>
    </xf>
    <xf numFmtId="7" fontId="27" fillId="0" borderId="0" xfId="80" applyNumberFormat="1" applyFont="1" applyFill="1" applyAlignment="1">
      <alignment horizontal="centerContinuous"/>
      <protection/>
    </xf>
    <xf numFmtId="0" fontId="23" fillId="0" borderId="0" xfId="80" applyFont="1">
      <alignment/>
      <protection/>
    </xf>
    <xf numFmtId="5" fontId="23" fillId="0" borderId="0" xfId="80" applyNumberFormat="1" applyFont="1" applyBorder="1" applyAlignment="1">
      <alignment horizontal="center"/>
      <protection/>
    </xf>
    <xf numFmtId="0" fontId="33" fillId="0" borderId="0" xfId="80" applyFont="1" applyAlignment="1">
      <alignment horizontal="right"/>
      <protection/>
    </xf>
    <xf numFmtId="5" fontId="23" fillId="0" borderId="0" xfId="80" applyNumberFormat="1" applyFont="1" applyBorder="1">
      <alignment/>
      <protection/>
    </xf>
    <xf numFmtId="38" fontId="6" fillId="0" borderId="0" xfId="80" applyNumberFormat="1" applyFont="1">
      <alignment/>
      <protection/>
    </xf>
    <xf numFmtId="5" fontId="23" fillId="0" borderId="0" xfId="80" applyNumberFormat="1" applyFont="1" applyAlignment="1">
      <alignment horizontal="center"/>
      <protection/>
    </xf>
    <xf numFmtId="38" fontId="23" fillId="0" borderId="0" xfId="80" applyNumberFormat="1" applyFont="1" applyAlignment="1">
      <alignment horizontal="right"/>
      <protection/>
    </xf>
    <xf numFmtId="5" fontId="33" fillId="0" borderId="0" xfId="80" applyNumberFormat="1" applyFont="1" applyAlignment="1">
      <alignment horizontal="left"/>
      <protection/>
    </xf>
    <xf numFmtId="38" fontId="23" fillId="0" borderId="0" xfId="80" applyNumberFormat="1" applyFont="1">
      <alignment/>
      <protection/>
    </xf>
    <xf numFmtId="0" fontId="34" fillId="0" borderId="0" xfId="80" applyFont="1" applyAlignment="1">
      <alignment horizontal="center"/>
      <protection/>
    </xf>
    <xf numFmtId="0" fontId="34" fillId="0" borderId="0" xfId="80" applyFont="1" applyAlignment="1">
      <alignment horizontal="right"/>
      <protection/>
    </xf>
    <xf numFmtId="0" fontId="34" fillId="0" borderId="0" xfId="80" applyFont="1" applyBorder="1" applyAlignment="1">
      <alignment horizontal="right"/>
      <protection/>
    </xf>
    <xf numFmtId="0" fontId="23" fillId="0" borderId="0" xfId="80" applyFont="1" applyAlignment="1">
      <alignment horizontal="center"/>
      <protection/>
    </xf>
    <xf numFmtId="43" fontId="7" fillId="0" borderId="0" xfId="46" applyFont="1" applyFill="1" applyBorder="1" applyAlignment="1">
      <alignment horizontal="right"/>
    </xf>
    <xf numFmtId="166" fontId="8" fillId="0" borderId="0" xfId="46" applyNumberFormat="1" applyFont="1" applyBorder="1" applyAlignment="1">
      <alignment/>
    </xf>
    <xf numFmtId="166" fontId="6" fillId="0" borderId="0" xfId="46" applyNumberFormat="1" applyFont="1" applyAlignment="1">
      <alignment/>
    </xf>
    <xf numFmtId="43" fontId="7" fillId="0" borderId="0" xfId="80" applyNumberFormat="1" applyFont="1" applyBorder="1" applyAlignment="1">
      <alignment horizontal="left"/>
      <protection/>
    </xf>
    <xf numFmtId="166" fontId="5" fillId="0" borderId="0" xfId="46" applyNumberFormat="1" applyFont="1" applyAlignment="1">
      <alignment horizontal="left"/>
    </xf>
    <xf numFmtId="166" fontId="8" fillId="0" borderId="0" xfId="46" applyNumberFormat="1" applyFont="1" applyAlignment="1">
      <alignment/>
    </xf>
    <xf numFmtId="43" fontId="23" fillId="0" borderId="0" xfId="80" applyNumberFormat="1" applyFont="1" applyBorder="1">
      <alignment/>
      <protection/>
    </xf>
    <xf numFmtId="5" fontId="23" fillId="0" borderId="0" xfId="46" applyNumberFormat="1" applyFont="1" applyBorder="1" applyAlignment="1">
      <alignment/>
    </xf>
    <xf numFmtId="166" fontId="23" fillId="0" borderId="0" xfId="46" applyNumberFormat="1" applyFont="1" applyBorder="1" applyAlignment="1">
      <alignment/>
    </xf>
    <xf numFmtId="166" fontId="23" fillId="0" borderId="0" xfId="46" applyNumberFormat="1" applyFont="1" applyAlignment="1">
      <alignment/>
    </xf>
    <xf numFmtId="166" fontId="23" fillId="0" borderId="0" xfId="46" applyNumberFormat="1" applyFont="1" applyAlignment="1">
      <alignment horizontal="left"/>
    </xf>
    <xf numFmtId="166" fontId="8" fillId="0" borderId="0" xfId="46" applyNumberFormat="1" applyFont="1" applyAlignment="1">
      <alignment/>
    </xf>
    <xf numFmtId="6" fontId="7" fillId="0" borderId="20" xfId="46" applyNumberFormat="1" applyFont="1" applyBorder="1" applyAlignment="1">
      <alignment/>
    </xf>
    <xf numFmtId="166" fontId="7" fillId="0" borderId="0" xfId="46" applyNumberFormat="1" applyFont="1" applyAlignment="1">
      <alignment horizontal="center"/>
    </xf>
    <xf numFmtId="166" fontId="8" fillId="0" borderId="0" xfId="46" applyNumberFormat="1" applyFont="1" applyAlignment="1">
      <alignment horizontal="left"/>
    </xf>
    <xf numFmtId="164" fontId="8" fillId="0" borderId="0" xfId="46" applyNumberFormat="1" applyFont="1" applyFill="1" applyAlignment="1">
      <alignment/>
    </xf>
    <xf numFmtId="166" fontId="7" fillId="0" borderId="0" xfId="46" applyNumberFormat="1" applyFont="1" applyAlignment="1">
      <alignment horizontal="left"/>
    </xf>
    <xf numFmtId="43" fontId="30" fillId="0" borderId="0" xfId="80" applyNumberFormat="1" applyFont="1" applyBorder="1">
      <alignment/>
      <protection/>
    </xf>
    <xf numFmtId="164" fontId="30" fillId="0" borderId="0" xfId="46" applyNumberFormat="1" applyFont="1" applyFill="1" applyAlignment="1">
      <alignment/>
    </xf>
    <xf numFmtId="164" fontId="8" fillId="0" borderId="0" xfId="46" applyNumberFormat="1" applyFont="1" applyBorder="1" applyAlignment="1">
      <alignment/>
    </xf>
    <xf numFmtId="164" fontId="7" fillId="0" borderId="20" xfId="46" applyNumberFormat="1" applyFont="1" applyBorder="1" applyAlignment="1">
      <alignment horizontal="center"/>
    </xf>
    <xf numFmtId="166" fontId="8" fillId="0" borderId="0" xfId="46" applyNumberFormat="1" applyFont="1" applyFill="1" applyAlignment="1">
      <alignment/>
    </xf>
    <xf numFmtId="43" fontId="25" fillId="0" borderId="0" xfId="80" applyNumberFormat="1" applyFont="1" applyBorder="1">
      <alignment/>
      <protection/>
    </xf>
    <xf numFmtId="166" fontId="6" fillId="0" borderId="0" xfId="46" applyNumberFormat="1" applyFont="1" applyAlignment="1">
      <alignment horizontal="centerContinuous"/>
    </xf>
    <xf numFmtId="166" fontId="7" fillId="0" borderId="0" xfId="46" applyNumberFormat="1" applyFont="1" applyFill="1" applyAlignment="1">
      <alignment horizontal="centerContinuous"/>
    </xf>
    <xf numFmtId="43" fontId="5" fillId="0" borderId="0" xfId="80" applyNumberFormat="1" applyFont="1" applyBorder="1">
      <alignment/>
      <protection/>
    </xf>
    <xf numFmtId="43" fontId="6" fillId="0" borderId="0" xfId="80" applyNumberFormat="1" applyFont="1" applyBorder="1">
      <alignment/>
      <protection/>
    </xf>
    <xf numFmtId="43" fontId="35" fillId="0" borderId="0" xfId="80" applyNumberFormat="1" applyFont="1" applyBorder="1">
      <alignment/>
      <protection/>
    </xf>
    <xf numFmtId="0" fontId="8" fillId="0" borderId="0" xfId="80" applyFont="1" applyBorder="1" applyAlignment="1">
      <alignment horizontal="right"/>
      <protection/>
    </xf>
    <xf numFmtId="164" fontId="8" fillId="0" borderId="0" xfId="80" applyNumberFormat="1" applyFont="1" applyBorder="1" applyAlignment="1">
      <alignment horizontal="right"/>
      <protection/>
    </xf>
    <xf numFmtId="6" fontId="7" fillId="0" borderId="20" xfId="46" applyNumberFormat="1" applyFont="1" applyBorder="1" applyAlignment="1">
      <alignment horizontal="right"/>
    </xf>
    <xf numFmtId="38" fontId="8" fillId="0" borderId="0" xfId="80" applyNumberFormat="1" applyFont="1" applyBorder="1" applyAlignment="1">
      <alignment horizontal="right"/>
      <protection/>
    </xf>
    <xf numFmtId="38" fontId="7" fillId="0" borderId="0" xfId="80" applyNumberFormat="1" applyFont="1" applyBorder="1" applyAlignment="1">
      <alignment horizontal="center" wrapText="1"/>
      <protection/>
    </xf>
    <xf numFmtId="38" fontId="30" fillId="0" borderId="0" xfId="80" applyNumberFormat="1" applyFont="1" applyBorder="1">
      <alignment/>
      <protection/>
    </xf>
    <xf numFmtId="38" fontId="30" fillId="0" borderId="0" xfId="80" applyNumberFormat="1" applyFont="1" applyBorder="1" applyAlignment="1">
      <alignment horizontal="right"/>
      <protection/>
    </xf>
    <xf numFmtId="164" fontId="30" fillId="0" borderId="0" xfId="46" applyNumberFormat="1" applyFont="1" applyBorder="1" applyAlignment="1">
      <alignment horizontal="right"/>
    </xf>
    <xf numFmtId="164" fontId="8" fillId="0" borderId="10" xfId="46" applyNumberFormat="1" applyFont="1" applyBorder="1" applyAlignment="1">
      <alignment horizontal="right"/>
    </xf>
    <xf numFmtId="38" fontId="7" fillId="0" borderId="0" xfId="80" applyNumberFormat="1" applyFont="1" applyBorder="1">
      <alignment/>
      <protection/>
    </xf>
    <xf numFmtId="164" fontId="36" fillId="0" borderId="0" xfId="46" applyNumberFormat="1" applyFont="1" applyBorder="1" applyAlignment="1">
      <alignment horizontal="right"/>
    </xf>
    <xf numFmtId="164" fontId="7" fillId="0" borderId="10" xfId="46" applyNumberFormat="1" applyFont="1" applyBorder="1" applyAlignment="1">
      <alignment horizontal="right"/>
    </xf>
    <xf numFmtId="164" fontId="8" fillId="0" borderId="0" xfId="46" applyNumberFormat="1" applyFont="1" applyBorder="1" applyAlignment="1">
      <alignment horizontal="left" wrapText="1"/>
    </xf>
    <xf numFmtId="164" fontId="8" fillId="0" borderId="0" xfId="46" applyNumberFormat="1" applyFont="1" applyFill="1" applyAlignment="1">
      <alignment/>
    </xf>
    <xf numFmtId="0" fontId="7" fillId="0" borderId="0" xfId="80" applyFont="1" applyBorder="1" applyAlignment="1">
      <alignment horizontal="center" wrapText="1"/>
      <protection/>
    </xf>
    <xf numFmtId="164" fontId="15" fillId="33" borderId="0" xfId="46" applyNumberFormat="1" applyFont="1" applyFill="1" applyBorder="1" applyAlignment="1">
      <alignment horizontal="center" wrapText="1"/>
    </xf>
    <xf numFmtId="164" fontId="8" fillId="0" borderId="0" xfId="46" applyNumberFormat="1" applyFont="1" applyBorder="1" applyAlignment="1">
      <alignment horizontal="centerContinuous"/>
    </xf>
    <xf numFmtId="0" fontId="8" fillId="0" borderId="0" xfId="80" applyFont="1" applyBorder="1" applyAlignment="1">
      <alignment horizontal="centerContinuous"/>
      <protection/>
    </xf>
    <xf numFmtId="164" fontId="6" fillId="0" borderId="0" xfId="46" applyNumberFormat="1" applyFont="1" applyBorder="1" applyAlignment="1">
      <alignment horizontal="centerContinuous"/>
    </xf>
    <xf numFmtId="164" fontId="5" fillId="0" borderId="0" xfId="46" applyNumberFormat="1" applyFont="1" applyFill="1" applyAlignment="1">
      <alignment horizontal="centerContinuous"/>
    </xf>
    <xf numFmtId="0" fontId="5" fillId="0" borderId="0" xfId="80" applyFont="1" applyBorder="1" applyAlignment="1">
      <alignment horizontal="centerContinuous"/>
      <protection/>
    </xf>
    <xf numFmtId="164" fontId="22" fillId="0" borderId="0" xfId="46" applyNumberFormat="1" applyFont="1" applyFill="1" applyAlignment="1">
      <alignment horizontal="centerContinuous"/>
    </xf>
    <xf numFmtId="0" fontId="22" fillId="0" borderId="0" xfId="80" applyFont="1" applyFill="1" applyBorder="1" applyAlignment="1">
      <alignment horizontal="centerContinuous"/>
      <protection/>
    </xf>
    <xf numFmtId="0" fontId="32" fillId="0" borderId="0" xfId="80" applyFont="1" applyBorder="1">
      <alignment/>
      <protection/>
    </xf>
    <xf numFmtId="164" fontId="32" fillId="0" borderId="0" xfId="46" applyNumberFormat="1" applyFont="1" applyBorder="1" applyAlignment="1">
      <alignment/>
    </xf>
    <xf numFmtId="164" fontId="32" fillId="0" borderId="0" xfId="46" applyNumberFormat="1" applyFont="1" applyBorder="1" applyAlignment="1">
      <alignment horizontal="centerContinuous"/>
    </xf>
    <xf numFmtId="164" fontId="27" fillId="0" borderId="0" xfId="46" applyNumberFormat="1" applyFont="1" applyFill="1" applyAlignment="1">
      <alignment horizontal="centerContinuous"/>
    </xf>
    <xf numFmtId="0" fontId="27" fillId="0" borderId="0" xfId="80" applyFont="1" applyBorder="1" applyAlignment="1">
      <alignment horizontal="centerContinuous"/>
      <protection/>
    </xf>
    <xf numFmtId="41" fontId="8" fillId="0" borderId="17" xfId="46" applyNumberFormat="1" applyFont="1" applyBorder="1" applyAlignment="1">
      <alignment/>
    </xf>
    <xf numFmtId="41" fontId="8" fillId="0" borderId="26" xfId="46" applyNumberFormat="1" applyFont="1" applyBorder="1" applyAlignment="1">
      <alignment/>
    </xf>
    <xf numFmtId="41" fontId="8" fillId="0" borderId="0" xfId="46" applyNumberFormat="1" applyFont="1" applyBorder="1" applyAlignment="1">
      <alignment/>
    </xf>
    <xf numFmtId="0" fontId="8" fillId="0" borderId="0" xfId="0" applyFont="1" applyFill="1" applyBorder="1" applyAlignment="1">
      <alignment/>
    </xf>
    <xf numFmtId="164" fontId="8" fillId="0" borderId="0" xfId="47" applyNumberFormat="1" applyFont="1" applyFill="1" applyBorder="1" applyAlignment="1">
      <alignment horizontal="right"/>
    </xf>
    <xf numFmtId="164" fontId="7" fillId="0" borderId="0" xfId="47" applyNumberFormat="1" applyFont="1" applyFill="1" applyBorder="1" applyAlignment="1">
      <alignment/>
    </xf>
    <xf numFmtId="164" fontId="8" fillId="0" borderId="0" xfId="47" applyNumberFormat="1" applyFont="1" applyFill="1" applyBorder="1" applyAlignment="1">
      <alignment/>
    </xf>
    <xf numFmtId="43" fontId="8" fillId="0" borderId="0" xfId="46" applyFont="1" applyFill="1" applyBorder="1" applyAlignment="1">
      <alignment/>
    </xf>
    <xf numFmtId="164" fontId="8" fillId="0" borderId="0" xfId="0" applyNumberFormat="1" applyFont="1" applyFill="1" applyBorder="1" applyAlignment="1">
      <alignment/>
    </xf>
    <xf numFmtId="14" fontId="8" fillId="0" borderId="0" xfId="0" applyNumberFormat="1" applyFont="1" applyFill="1" applyBorder="1" applyAlignment="1">
      <alignment/>
    </xf>
    <xf numFmtId="0" fontId="8" fillId="0" borderId="0" xfId="0" applyFont="1" applyBorder="1" applyAlignment="1">
      <alignment/>
    </xf>
    <xf numFmtId="7" fontId="8" fillId="0" borderId="0" xfId="0" applyNumberFormat="1" applyFont="1" applyBorder="1" applyAlignment="1">
      <alignment/>
    </xf>
    <xf numFmtId="43" fontId="22" fillId="0" borderId="0" xfId="80" applyNumberFormat="1" applyFont="1" applyFill="1" applyBorder="1" applyAlignment="1">
      <alignment horizontal="center"/>
      <protection/>
    </xf>
    <xf numFmtId="6" fontId="8" fillId="0" borderId="0" xfId="66" applyNumberFormat="1" applyFont="1">
      <alignment/>
      <protection/>
    </xf>
    <xf numFmtId="38" fontId="8" fillId="0" borderId="0" xfId="46" applyNumberFormat="1" applyFont="1" applyBorder="1" applyAlignment="1">
      <alignment horizontal="right"/>
    </xf>
    <xf numFmtId="38" fontId="8" fillId="0" borderId="10" xfId="46" applyNumberFormat="1" applyFont="1" applyFill="1" applyBorder="1" applyAlignment="1">
      <alignment horizontal="right"/>
    </xf>
    <xf numFmtId="38" fontId="8" fillId="0" borderId="0" xfId="46" applyNumberFormat="1" applyFont="1" applyFill="1" applyBorder="1" applyAlignment="1">
      <alignment horizontal="right"/>
    </xf>
    <xf numFmtId="38" fontId="8" fillId="0" borderId="11" xfId="46" applyNumberFormat="1" applyFont="1" applyBorder="1" applyAlignment="1">
      <alignment horizontal="right"/>
    </xf>
    <xf numFmtId="38" fontId="8" fillId="0" borderId="17" xfId="46" applyNumberFormat="1" applyFont="1" applyFill="1" applyBorder="1" applyAlignment="1">
      <alignment horizontal="right"/>
    </xf>
    <xf numFmtId="43" fontId="8" fillId="0" borderId="23" xfId="0" applyNumberFormat="1" applyFont="1" applyBorder="1" applyAlignment="1">
      <alignment horizontal="left" wrapText="1"/>
    </xf>
    <xf numFmtId="38" fontId="8" fillId="0" borderId="26" xfId="46" applyNumberFormat="1" applyFont="1" applyBorder="1" applyAlignment="1">
      <alignment/>
    </xf>
    <xf numFmtId="41" fontId="7" fillId="0" borderId="0" xfId="46" applyNumberFormat="1" applyFont="1" applyBorder="1" applyAlignment="1">
      <alignment/>
    </xf>
    <xf numFmtId="164" fontId="7" fillId="0" borderId="13" xfId="47" applyNumberFormat="1" applyFont="1" applyFill="1" applyBorder="1" applyAlignment="1">
      <alignment horizontal="right"/>
    </xf>
    <xf numFmtId="164" fontId="8" fillId="0" borderId="13" xfId="47" applyNumberFormat="1" applyFont="1" applyFill="1" applyBorder="1" applyAlignment="1">
      <alignment horizontal="right"/>
    </xf>
    <xf numFmtId="6" fontId="7" fillId="0" borderId="20" xfId="51" applyNumberFormat="1" applyFont="1" applyFill="1" applyBorder="1" applyAlignment="1">
      <alignment horizontal="right"/>
    </xf>
    <xf numFmtId="38" fontId="8" fillId="0" borderId="10" xfId="46" applyNumberFormat="1" applyFont="1" applyFill="1" applyBorder="1" applyAlignment="1">
      <alignment/>
    </xf>
    <xf numFmtId="0" fontId="18" fillId="0" borderId="0" xfId="0" applyFont="1" applyFill="1" applyAlignment="1">
      <alignment/>
    </xf>
    <xf numFmtId="167" fontId="8" fillId="0" borderId="0" xfId="0" applyNumberFormat="1" applyFont="1" applyFill="1" applyBorder="1" applyAlignment="1">
      <alignment horizontal="right"/>
    </xf>
    <xf numFmtId="43" fontId="8" fillId="0" borderId="0" xfId="46" applyFont="1" applyFill="1" applyBorder="1" applyAlignment="1">
      <alignment/>
    </xf>
    <xf numFmtId="164" fontId="8" fillId="0" borderId="0" xfId="0" applyNumberFormat="1" applyFont="1" applyFill="1" applyBorder="1" applyAlignment="1">
      <alignment/>
    </xf>
    <xf numFmtId="0" fontId="8" fillId="0" borderId="0" xfId="0"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xf>
    <xf numFmtId="164" fontId="7" fillId="0" borderId="0" xfId="0" applyNumberFormat="1" applyFont="1" applyFill="1" applyBorder="1" applyAlignment="1">
      <alignment/>
    </xf>
    <xf numFmtId="6" fontId="8" fillId="0" borderId="0" xfId="0" applyNumberFormat="1" applyFont="1" applyFill="1" applyAlignment="1">
      <alignment horizontal="right"/>
    </xf>
    <xf numFmtId="43" fontId="18" fillId="0" borderId="0" xfId="0" applyNumberFormat="1" applyFont="1" applyFill="1" applyBorder="1" applyAlignment="1">
      <alignment horizontal="left" wrapText="1"/>
    </xf>
    <xf numFmtId="38" fontId="7" fillId="0" borderId="10" xfId="46" applyNumberFormat="1" applyFont="1" applyFill="1" applyBorder="1" applyAlignment="1">
      <alignment/>
    </xf>
    <xf numFmtId="38" fontId="7" fillId="0" borderId="20" xfId="46" applyNumberFormat="1" applyFont="1" applyFill="1" applyBorder="1" applyAlignment="1">
      <alignment/>
    </xf>
    <xf numFmtId="43" fontId="7" fillId="0" borderId="20" xfId="46" applyNumberFormat="1" applyFont="1" applyFill="1" applyBorder="1" applyAlignment="1">
      <alignment/>
    </xf>
    <xf numFmtId="7" fontId="22" fillId="0" borderId="0" xfId="80" applyNumberFormat="1" applyFont="1" applyFill="1" applyBorder="1" applyAlignment="1">
      <alignment horizontal="center"/>
      <protection/>
    </xf>
    <xf numFmtId="7" fontId="3" fillId="0" borderId="0" xfId="80" applyNumberFormat="1" applyFont="1" applyFill="1" applyBorder="1" applyAlignment="1">
      <alignment horizontal="center"/>
      <protection/>
    </xf>
    <xf numFmtId="7" fontId="5" fillId="0" borderId="0" xfId="80" applyNumberFormat="1" applyFont="1" applyFill="1" applyBorder="1" applyAlignment="1">
      <alignment horizontal="center"/>
      <protection/>
    </xf>
    <xf numFmtId="7" fontId="5" fillId="0" borderId="0" xfId="80" applyNumberFormat="1" applyFont="1" applyFill="1" applyBorder="1" applyAlignment="1" quotePrefix="1">
      <alignment horizontal="center"/>
      <protection/>
    </xf>
    <xf numFmtId="7" fontId="5" fillId="0" borderId="0" xfId="80" applyNumberFormat="1" applyFont="1" applyBorder="1" applyAlignment="1">
      <alignment horizontal="center"/>
      <protection/>
    </xf>
    <xf numFmtId="7" fontId="5" fillId="0" borderId="0" xfId="80" applyNumberFormat="1" applyFont="1" applyBorder="1" applyAlignment="1" quotePrefix="1">
      <alignment horizontal="center"/>
      <protection/>
    </xf>
    <xf numFmtId="43" fontId="27" fillId="0" borderId="0" xfId="80" applyNumberFormat="1" applyFont="1" applyFill="1" applyBorder="1" applyAlignment="1">
      <alignment horizontal="center"/>
      <protection/>
    </xf>
    <xf numFmtId="43" fontId="22" fillId="0" borderId="0" xfId="80" applyNumberFormat="1" applyFont="1" applyFill="1" applyAlignment="1">
      <alignment horizontal="center"/>
      <protection/>
    </xf>
    <xf numFmtId="43" fontId="5" fillId="0" borderId="0" xfId="80" applyNumberFormat="1" applyFont="1" applyFill="1" applyBorder="1" applyAlignment="1">
      <alignment horizontal="center"/>
      <protection/>
    </xf>
    <xf numFmtId="43" fontId="5" fillId="0" borderId="23" xfId="80" applyNumberFormat="1" applyFont="1" applyBorder="1" applyAlignment="1">
      <alignment horizontal="center"/>
      <protection/>
    </xf>
    <xf numFmtId="43" fontId="5" fillId="0" borderId="0" xfId="80" applyNumberFormat="1" applyFont="1" applyBorder="1" applyAlignment="1">
      <alignment horizontal="center"/>
      <protection/>
    </xf>
    <xf numFmtId="43" fontId="5" fillId="0" borderId="17" xfId="80" applyNumberFormat="1" applyFont="1" applyBorder="1" applyAlignment="1">
      <alignment horizontal="center"/>
      <protection/>
    </xf>
    <xf numFmtId="43" fontId="3" fillId="0" borderId="25" xfId="80" applyNumberFormat="1" applyFont="1" applyBorder="1" applyAlignment="1">
      <alignment horizontal="center"/>
      <protection/>
    </xf>
    <xf numFmtId="43" fontId="3" fillId="0" borderId="24" xfId="80" applyNumberFormat="1" applyFont="1" applyBorder="1" applyAlignment="1">
      <alignment horizontal="center"/>
      <protection/>
    </xf>
    <xf numFmtId="43" fontId="3" fillId="0" borderId="19" xfId="80" applyNumberFormat="1" applyFont="1" applyBorder="1" applyAlignment="1">
      <alignment horizontal="center"/>
      <protection/>
    </xf>
    <xf numFmtId="43" fontId="22" fillId="0" borderId="23" xfId="80" applyNumberFormat="1" applyFont="1" applyFill="1" applyBorder="1" applyAlignment="1">
      <alignment horizontal="center"/>
      <protection/>
    </xf>
    <xf numFmtId="43" fontId="22" fillId="0" borderId="0" xfId="80" applyNumberFormat="1" applyFont="1" applyFill="1" applyBorder="1" applyAlignment="1">
      <alignment horizontal="center"/>
      <protection/>
    </xf>
    <xf numFmtId="43" fontId="22" fillId="0" borderId="17" xfId="80" applyNumberFormat="1" applyFont="1" applyFill="1" applyBorder="1" applyAlignment="1">
      <alignment horizontal="center"/>
      <protection/>
    </xf>
    <xf numFmtId="0" fontId="23" fillId="0" borderId="0" xfId="80" applyNumberFormat="1" applyFont="1" applyAlignment="1">
      <alignment horizontal="left" vertical="center" wrapText="1"/>
      <protection/>
    </xf>
    <xf numFmtId="0" fontId="23" fillId="0" borderId="0" xfId="80" applyNumberFormat="1" applyFont="1" applyAlignment="1">
      <alignment horizontal="center" vertical="center" wrapText="1"/>
      <protection/>
    </xf>
    <xf numFmtId="0" fontId="23" fillId="0" borderId="0" xfId="80" applyFont="1" applyAlignment="1">
      <alignment horizontal="left" vertical="center" wrapText="1"/>
      <protection/>
    </xf>
    <xf numFmtId="0" fontId="34" fillId="0" borderId="0" xfId="80" applyFont="1" applyAlignment="1">
      <alignment horizontal="center" vertical="center" wrapText="1"/>
      <protection/>
    </xf>
    <xf numFmtId="166" fontId="27" fillId="0" borderId="0" xfId="46" applyNumberFormat="1" applyFont="1" applyAlignment="1">
      <alignment horizontal="center"/>
    </xf>
    <xf numFmtId="166" fontId="5" fillId="0" borderId="0" xfId="46" applyNumberFormat="1" applyFont="1" applyAlignment="1">
      <alignment horizontal="center"/>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Currency [0] 2"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0" xfId="61"/>
    <cellStyle name="Normal 11" xfId="62"/>
    <cellStyle name="Normal 2" xfId="63"/>
    <cellStyle name="Normal 2 2" xfId="64"/>
    <cellStyle name="Normal 3" xfId="65"/>
    <cellStyle name="Normal 3 2" xfId="66"/>
    <cellStyle name="Normal 3 3" xfId="67"/>
    <cellStyle name="Normal 3 3 2" xfId="68"/>
    <cellStyle name="Normal 4" xfId="69"/>
    <cellStyle name="Normal 4 2" xfId="70"/>
    <cellStyle name="Normal 4 3" xfId="71"/>
    <cellStyle name="Normal 5" xfId="72"/>
    <cellStyle name="Normal 5 2" xfId="73"/>
    <cellStyle name="Normal 6" xfId="74"/>
    <cellStyle name="Normal 7" xfId="75"/>
    <cellStyle name="Normal 8" xfId="76"/>
    <cellStyle name="Normal 8 2" xfId="77"/>
    <cellStyle name="Normal 8 3" xfId="78"/>
    <cellStyle name="Normal 8 4" xfId="79"/>
    <cellStyle name="Normal 9" xfId="80"/>
    <cellStyle name="Note" xfId="81"/>
    <cellStyle name="Output" xfId="82"/>
    <cellStyle name="Percent" xfId="83"/>
    <cellStyle name="STYLE1" xfId="84"/>
    <cellStyle name="STYLE2" xfId="85"/>
    <cellStyle name="STYLE3" xfId="86"/>
    <cellStyle name="STYLE4" xfId="87"/>
    <cellStyle name="STYLE5" xfId="88"/>
    <cellStyle name="STYLE6" xfId="89"/>
    <cellStyle name="STYLE7"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276225</xdr:colOff>
      <xdr:row>3</xdr:row>
      <xdr:rowOff>57150</xdr:rowOff>
    </xdr:from>
    <xdr:ext cx="2552700" cy="733425"/>
    <xdr:sp>
      <xdr:nvSpPr>
        <xdr:cNvPr id="5" name="Rectangle 3"/>
        <xdr:cNvSpPr>
          <a:spLocks/>
        </xdr:cNvSpPr>
      </xdr:nvSpPr>
      <xdr:spPr>
        <a:xfrm>
          <a:off x="276225" y="819150"/>
          <a:ext cx="25527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Q13%20Trial%20Balan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Q13%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Q13 Trial Balance"/>
      <sheetName val="3Q13 Trial Balance (FS)"/>
    </sheetNames>
    <sheetDataSet>
      <sheetData sheetId="1">
        <row r="26">
          <cell r="F26">
            <v>7596280.579999999</v>
          </cell>
        </row>
        <row r="30">
          <cell r="F30">
            <v>1055835.24</v>
          </cell>
        </row>
        <row r="34">
          <cell r="F34">
            <v>936849.18</v>
          </cell>
        </row>
        <row r="38">
          <cell r="F38">
            <v>10831.880000000001</v>
          </cell>
        </row>
        <row r="44">
          <cell r="F44">
            <v>1445894</v>
          </cell>
        </row>
        <row r="48">
          <cell r="F48">
            <v>145417.15</v>
          </cell>
        </row>
        <row r="56">
          <cell r="F56">
            <v>32816.29</v>
          </cell>
        </row>
        <row r="64">
          <cell r="E64">
            <v>-239227.94</v>
          </cell>
        </row>
        <row r="65">
          <cell r="E65">
            <v>-76470.43</v>
          </cell>
        </row>
        <row r="66">
          <cell r="E66">
            <v>-677.08</v>
          </cell>
        </row>
        <row r="68">
          <cell r="E68">
            <v>-3919193.08</v>
          </cell>
        </row>
        <row r="69">
          <cell r="E69">
            <v>-1328978.86</v>
          </cell>
        </row>
        <row r="70">
          <cell r="E70">
            <v>-17896.33</v>
          </cell>
        </row>
        <row r="72">
          <cell r="F72">
            <v>-5582443.720000001</v>
          </cell>
        </row>
        <row r="83">
          <cell r="F83">
            <v>-1747841.61</v>
          </cell>
        </row>
        <row r="88">
          <cell r="F88">
            <v>-1030273</v>
          </cell>
        </row>
        <row r="101">
          <cell r="F101">
            <v>-205812</v>
          </cell>
        </row>
        <row r="112">
          <cell r="F112">
            <v>-147738.84</v>
          </cell>
        </row>
        <row r="118">
          <cell r="F118">
            <v>-12883.48</v>
          </cell>
        </row>
        <row r="122">
          <cell r="F122">
            <v>-9493.33</v>
          </cell>
        </row>
        <row r="125">
          <cell r="F125">
            <v>-31796.93</v>
          </cell>
        </row>
        <row r="133">
          <cell r="F133">
            <v>-128332.84999999999</v>
          </cell>
        </row>
        <row r="161">
          <cell r="F161">
            <v>-386105.48</v>
          </cell>
        </row>
        <row r="164">
          <cell r="F164">
            <v>-5567852</v>
          </cell>
        </row>
        <row r="167">
          <cell r="F167">
            <v>-1450164</v>
          </cell>
        </row>
        <row r="170">
          <cell r="F170">
            <v>-388319.1</v>
          </cell>
        </row>
        <row r="176">
          <cell r="F176">
            <v>-138087.2</v>
          </cell>
        </row>
        <row r="196">
          <cell r="C196">
            <v>-3122230</v>
          </cell>
        </row>
        <row r="201">
          <cell r="E201">
            <v>86</v>
          </cell>
        </row>
        <row r="202">
          <cell r="E202">
            <v>19</v>
          </cell>
        </row>
        <row r="204">
          <cell r="C204">
            <v>14969</v>
          </cell>
          <cell r="E204">
            <v>84165</v>
          </cell>
        </row>
        <row r="205">
          <cell r="C205">
            <v>6633</v>
          </cell>
          <cell r="E205">
            <v>30245</v>
          </cell>
        </row>
        <row r="206">
          <cell r="C206">
            <v>65</v>
          </cell>
          <cell r="E206">
            <v>387</v>
          </cell>
        </row>
        <row r="208">
          <cell r="C208">
            <v>-2112898</v>
          </cell>
          <cell r="E208">
            <v>-6236055</v>
          </cell>
        </row>
        <row r="209">
          <cell r="C209">
            <v>-729744</v>
          </cell>
          <cell r="E209">
            <v>-2085698</v>
          </cell>
        </row>
        <row r="210">
          <cell r="C210">
            <v>-8952</v>
          </cell>
          <cell r="E210">
            <v>-27429</v>
          </cell>
        </row>
        <row r="253">
          <cell r="D253">
            <v>-13182.11</v>
          </cell>
          <cell r="F253">
            <v>-37583.64</v>
          </cell>
        </row>
        <row r="260">
          <cell r="D260">
            <v>3258.53</v>
          </cell>
          <cell r="F260">
            <v>7179.18</v>
          </cell>
        </row>
        <row r="262">
          <cell r="C262">
            <v>-1423.14</v>
          </cell>
          <cell r="E262">
            <v>-11961.37</v>
          </cell>
        </row>
        <row r="263">
          <cell r="C263">
            <v>-5020.08</v>
          </cell>
          <cell r="E263">
            <v>-15565.98</v>
          </cell>
        </row>
        <row r="264">
          <cell r="D264">
            <v>-6443.22</v>
          </cell>
          <cell r="F264">
            <v>-27527.35</v>
          </cell>
        </row>
        <row r="277">
          <cell r="C277">
            <v>-13916.09</v>
          </cell>
          <cell r="E277">
            <v>-14907.99</v>
          </cell>
        </row>
        <row r="278">
          <cell r="C278">
            <v>-3472.69</v>
          </cell>
          <cell r="E278">
            <v>-8465.69</v>
          </cell>
        </row>
        <row r="280">
          <cell r="E280">
            <v>-520.23</v>
          </cell>
        </row>
        <row r="282">
          <cell r="D282">
            <v>-17388.78</v>
          </cell>
          <cell r="F282">
            <v>-23893.91</v>
          </cell>
        </row>
        <row r="363">
          <cell r="D363">
            <v>0</v>
          </cell>
          <cell r="F363">
            <v>-10.5</v>
          </cell>
        </row>
        <row r="367">
          <cell r="D367">
            <v>-2086.2</v>
          </cell>
          <cell r="F367">
            <v>-10016.1</v>
          </cell>
        </row>
        <row r="371">
          <cell r="D371">
            <v>243126.5</v>
          </cell>
          <cell r="F371">
            <v>716242.1</v>
          </cell>
        </row>
        <row r="373">
          <cell r="D373">
            <v>241040.3</v>
          </cell>
          <cell r="F373">
            <v>706215.5</v>
          </cell>
        </row>
        <row r="376">
          <cell r="D376">
            <v>6696.92</v>
          </cell>
          <cell r="F376">
            <v>30569.86</v>
          </cell>
        </row>
        <row r="378">
          <cell r="D378">
            <v>4125</v>
          </cell>
          <cell r="F378">
            <v>12375</v>
          </cell>
        </row>
        <row r="382">
          <cell r="D382">
            <v>27925.29</v>
          </cell>
          <cell r="F382">
            <v>72549.48000000001</v>
          </cell>
        </row>
        <row r="384">
          <cell r="D384">
            <v>38747.21</v>
          </cell>
          <cell r="F384">
            <v>115494.34</v>
          </cell>
        </row>
        <row r="625">
          <cell r="D625">
            <v>733315.4600000002</v>
          </cell>
          <cell r="F625">
            <v>2754252.380000001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Page 1"/>
      <sheetName val="Page 2"/>
      <sheetName val="Page 3"/>
      <sheetName val="Page 4"/>
      <sheetName val="Page 5"/>
      <sheetName val="Page 6"/>
      <sheetName val="Unpaid Loss Reserves-13"/>
      <sheetName val="Unpaid Loss Expense Reserves-14"/>
      <sheetName val="Loss Expenses Paid QTD-15"/>
      <sheetName val="Loss Expenses Paid YTD-16"/>
      <sheetName val="(6)Losses Incurred YTD-p1"/>
      <sheetName val="(6)Losses Incurred YTD10"/>
      <sheetName val="(4)Loss Expenses YTD12"/>
      <sheetName val="IBNR JE2"/>
      <sheetName val="(1)ULEP-YTD17"/>
      <sheetName val="Business Summary"/>
    </sheetNames>
    <sheetDataSet>
      <sheetData sheetId="12">
        <row r="9">
          <cell r="B9">
            <v>218466</v>
          </cell>
          <cell r="C9">
            <v>1159506.6</v>
          </cell>
          <cell r="D9">
            <v>67262.79</v>
          </cell>
        </row>
        <row r="10">
          <cell r="B10">
            <v>58200</v>
          </cell>
          <cell r="C10">
            <v>223906.22</v>
          </cell>
          <cell r="D10">
            <v>20500</v>
          </cell>
        </row>
        <row r="11">
          <cell r="B11">
            <v>0</v>
          </cell>
          <cell r="C11">
            <v>0</v>
          </cell>
          <cell r="D11">
            <v>0</v>
          </cell>
        </row>
        <row r="16">
          <cell r="B16">
            <v>813542.76</v>
          </cell>
          <cell r="C16">
            <v>0</v>
          </cell>
          <cell r="D16">
            <v>0</v>
          </cell>
        </row>
        <row r="17">
          <cell r="B17">
            <v>216730.24</v>
          </cell>
          <cell r="C17">
            <v>0</v>
          </cell>
          <cell r="D17">
            <v>0</v>
          </cell>
        </row>
        <row r="18">
          <cell r="B18">
            <v>0</v>
          </cell>
          <cell r="C18">
            <v>0</v>
          </cell>
          <cell r="D18">
            <v>0</v>
          </cell>
        </row>
      </sheetData>
      <sheetData sheetId="13">
        <row r="22">
          <cell r="B22">
            <v>113218.38</v>
          </cell>
          <cell r="C22">
            <v>128197.51</v>
          </cell>
          <cell r="D22">
            <v>43853.5</v>
          </cell>
        </row>
        <row r="23">
          <cell r="B23">
            <v>30161.46</v>
          </cell>
          <cell r="C23">
            <v>24754.55</v>
          </cell>
          <cell r="D23">
            <v>13365.439999999999</v>
          </cell>
        </row>
        <row r="24">
          <cell r="B24">
            <v>0</v>
          </cell>
          <cell r="C24">
            <v>0</v>
          </cell>
          <cell r="D24">
            <v>0</v>
          </cell>
        </row>
      </sheetData>
      <sheetData sheetId="14">
        <row r="9">
          <cell r="E9">
            <v>130</v>
          </cell>
          <cell r="K9">
            <v>5043.55</v>
          </cell>
        </row>
        <row r="10">
          <cell r="E10">
            <v>58549.04</v>
          </cell>
          <cell r="K10">
            <v>22366.93</v>
          </cell>
        </row>
        <row r="11">
          <cell r="E11">
            <v>0</v>
          </cell>
          <cell r="K11">
            <v>0</v>
          </cell>
        </row>
        <row r="12">
          <cell r="C12">
            <v>22202.920000000002</v>
          </cell>
          <cell r="I12">
            <v>5207.5599999999995</v>
          </cell>
        </row>
        <row r="15">
          <cell r="E15">
            <v>749998.31</v>
          </cell>
          <cell r="K15">
            <v>115653.6</v>
          </cell>
        </row>
        <row r="16">
          <cell r="E16">
            <v>337183.75</v>
          </cell>
          <cell r="K16">
            <v>110414.14</v>
          </cell>
        </row>
        <row r="17">
          <cell r="E17">
            <v>0</v>
          </cell>
          <cell r="K17">
            <v>0</v>
          </cell>
        </row>
        <row r="18">
          <cell r="C18">
            <v>129584</v>
          </cell>
          <cell r="I18">
            <v>96483.74</v>
          </cell>
        </row>
        <row r="21">
          <cell r="E21">
            <v>54461.52</v>
          </cell>
          <cell r="K21">
            <v>12915.259999999998</v>
          </cell>
        </row>
        <row r="22">
          <cell r="E22">
            <v>45643.78</v>
          </cell>
          <cell r="K22">
            <v>19910.56</v>
          </cell>
        </row>
        <row r="23">
          <cell r="E23">
            <v>0</v>
          </cell>
          <cell r="K23">
            <v>0</v>
          </cell>
        </row>
        <row r="24">
          <cell r="C24">
            <v>23941.809999999998</v>
          </cell>
          <cell r="I24">
            <v>8884.01</v>
          </cell>
        </row>
        <row r="30">
          <cell r="C30">
            <v>175728.72999999998</v>
          </cell>
          <cell r="E30">
            <v>1245967.4</v>
          </cell>
          <cell r="I30">
            <v>110576.31</v>
          </cell>
        </row>
      </sheetData>
      <sheetData sheetId="15">
        <row r="9">
          <cell r="E9">
            <v>367677.71</v>
          </cell>
          <cell r="K9">
            <v>45051.84</v>
          </cell>
        </row>
        <row r="10">
          <cell r="E10">
            <v>1116392.59</v>
          </cell>
          <cell r="K10">
            <v>239730.25</v>
          </cell>
        </row>
        <row r="11">
          <cell r="E11">
            <v>0</v>
          </cell>
          <cell r="K11">
            <v>0</v>
          </cell>
        </row>
        <row r="12">
          <cell r="C12">
            <v>233170.44</v>
          </cell>
          <cell r="I12">
            <v>51611.649999999994</v>
          </cell>
        </row>
        <row r="15">
          <cell r="E15">
            <v>3619864.14</v>
          </cell>
          <cell r="K15">
            <v>351051.16</v>
          </cell>
        </row>
        <row r="16">
          <cell r="E16">
            <v>6518644.69</v>
          </cell>
          <cell r="K16">
            <v>1337233.9600000002</v>
          </cell>
        </row>
        <row r="17">
          <cell r="E17">
            <v>0</v>
          </cell>
          <cell r="K17">
            <v>0</v>
          </cell>
        </row>
        <row r="18">
          <cell r="C18">
            <v>1264036.1600000001</v>
          </cell>
          <cell r="I18">
            <v>424248.95999999996</v>
          </cell>
        </row>
        <row r="21">
          <cell r="E21">
            <v>83643.97</v>
          </cell>
          <cell r="K21">
            <v>18915.91</v>
          </cell>
        </row>
        <row r="22">
          <cell r="E22">
            <v>77303.22</v>
          </cell>
          <cell r="K22">
            <v>28064.22</v>
          </cell>
        </row>
        <row r="23">
          <cell r="E23">
            <v>0</v>
          </cell>
          <cell r="K23">
            <v>0</v>
          </cell>
        </row>
        <row r="24">
          <cell r="C24">
            <v>35426.14</v>
          </cell>
          <cell r="I24">
            <v>11553.99</v>
          </cell>
        </row>
        <row r="30">
          <cell r="C30">
            <v>1532631.74</v>
          </cell>
          <cell r="E30">
            <v>11783527.32</v>
          </cell>
          <cell r="I30">
            <v>487414.6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1">
      <selection activeCell="A1" sqref="A1:E1"/>
    </sheetView>
  </sheetViews>
  <sheetFormatPr defaultColWidth="15.7109375" defaultRowHeight="15" customHeight="1"/>
  <cols>
    <col min="1" max="1" width="52.57421875" style="1" customWidth="1"/>
    <col min="2" max="4" width="15.7109375" style="2" customWidth="1"/>
    <col min="5" max="16384" width="15.7109375" style="1" customWidth="1"/>
  </cols>
  <sheetData>
    <row r="1" spans="1:5" s="44" customFormat="1" ht="30" customHeight="1">
      <c r="A1" s="317" t="s">
        <v>0</v>
      </c>
      <c r="B1" s="317"/>
      <c r="C1" s="317"/>
      <c r="D1" s="317"/>
      <c r="E1" s="317"/>
    </row>
    <row r="2" spans="1:4" s="44" customFormat="1" ht="15" customHeight="1">
      <c r="A2" s="316"/>
      <c r="B2" s="316"/>
      <c r="C2" s="316"/>
      <c r="D2" s="316"/>
    </row>
    <row r="3" spans="1:5" s="41" customFormat="1" ht="15" customHeight="1">
      <c r="A3" s="318" t="s">
        <v>42</v>
      </c>
      <c r="B3" s="318"/>
      <c r="C3" s="318"/>
      <c r="D3" s="318"/>
      <c r="E3" s="318"/>
    </row>
    <row r="4" spans="1:5" s="41" customFormat="1" ht="15" customHeight="1">
      <c r="A4" s="319" t="s">
        <v>189</v>
      </c>
      <c r="B4" s="319"/>
      <c r="C4" s="319"/>
      <c r="D4" s="319"/>
      <c r="E4" s="319"/>
    </row>
    <row r="5" spans="1:4" s="41" customFormat="1" ht="15" customHeight="1">
      <c r="A5" s="43"/>
      <c r="B5" s="42"/>
      <c r="C5" s="42"/>
      <c r="D5" s="42"/>
    </row>
    <row r="6" spans="1:4" ht="45" customHeight="1">
      <c r="A6" s="40"/>
      <c r="B6" s="39" t="s">
        <v>41</v>
      </c>
      <c r="C6" s="39" t="s">
        <v>40</v>
      </c>
      <c r="D6" s="39" t="s">
        <v>39</v>
      </c>
    </row>
    <row r="7" spans="1:4" ht="15" customHeight="1">
      <c r="A7" s="38" t="s">
        <v>38</v>
      </c>
      <c r="B7" s="37"/>
      <c r="C7" s="37"/>
      <c r="D7" s="37"/>
    </row>
    <row r="8" spans="1:4" ht="15" customHeight="1">
      <c r="A8" s="19" t="s">
        <v>37</v>
      </c>
      <c r="B8" s="36">
        <f>'[1]3Q13 Trial Balance (FS)'!F30</f>
        <v>1055835.24</v>
      </c>
      <c r="C8" s="35">
        <v>0</v>
      </c>
      <c r="D8" s="36">
        <f>SUM(B8:C8)</f>
        <v>1055835.24</v>
      </c>
    </row>
    <row r="9" spans="1:4" ht="15" customHeight="1">
      <c r="A9" s="19" t="s">
        <v>36</v>
      </c>
      <c r="B9" s="33">
        <f>'[1]3Q13 Trial Balance (FS)'!F34</f>
        <v>936849.18</v>
      </c>
      <c r="C9" s="35">
        <v>0</v>
      </c>
      <c r="D9" s="33">
        <f>SUM(B9:C9)</f>
        <v>936849.18</v>
      </c>
    </row>
    <row r="10" spans="1:4" ht="15" customHeight="1">
      <c r="A10" s="19" t="s">
        <v>35</v>
      </c>
      <c r="B10" s="33">
        <f>'[1]3Q13 Trial Balance (FS)'!F26</f>
        <v>7596280.579999999</v>
      </c>
      <c r="C10" s="35">
        <v>0</v>
      </c>
      <c r="D10" s="33">
        <f>SUM(B10:C10)</f>
        <v>7596280.579999999</v>
      </c>
    </row>
    <row r="11" spans="1:4" ht="15" customHeight="1">
      <c r="A11" s="19" t="s">
        <v>209</v>
      </c>
      <c r="B11" s="33">
        <v>42943.729999999996</v>
      </c>
      <c r="C11" s="33">
        <f>B11</f>
        <v>42943.729999999996</v>
      </c>
      <c r="D11" s="35">
        <v>0</v>
      </c>
    </row>
    <row r="12" spans="1:4" ht="15" customHeight="1">
      <c r="A12" s="19" t="s">
        <v>34</v>
      </c>
      <c r="B12" s="33">
        <f>'[1]3Q13 Trial Balance (FS)'!F38</f>
        <v>10831.880000000001</v>
      </c>
      <c r="C12" s="34">
        <v>0</v>
      </c>
      <c r="D12" s="33">
        <f>SUM(B12:C12)</f>
        <v>10831.880000000001</v>
      </c>
    </row>
    <row r="13" spans="1:4" ht="15" customHeight="1">
      <c r="A13" s="19" t="s">
        <v>33</v>
      </c>
      <c r="B13" s="33">
        <f>25986.06-22394.92</f>
        <v>3591.140000000003</v>
      </c>
      <c r="C13" s="33">
        <f>B13</f>
        <v>3591.140000000003</v>
      </c>
      <c r="D13" s="299">
        <f>+B13-C13</f>
        <v>0</v>
      </c>
    </row>
    <row r="14" spans="1:6" ht="15" customHeight="1">
      <c r="A14" s="19" t="s">
        <v>32</v>
      </c>
      <c r="B14" s="33">
        <f>'[1]3Q13 Trial Balance (FS)'!F56+451957.99-226418.72</f>
        <v>258355.55999999997</v>
      </c>
      <c r="C14" s="33">
        <f>451957.99-226418.72+1</f>
        <v>225540.27</v>
      </c>
      <c r="D14" s="300">
        <f>B14-C14+1</f>
        <v>32816.28999999998</v>
      </c>
      <c r="E14" s="11"/>
      <c r="F14" s="16"/>
    </row>
    <row r="15" spans="1:5" ht="15" customHeight="1">
      <c r="A15" s="19" t="s">
        <v>31</v>
      </c>
      <c r="B15" s="33">
        <f>'[1]3Q13 Trial Balance (FS)'!F48+444.9+5</f>
        <v>145867.05</v>
      </c>
      <c r="C15" s="33">
        <f>444.9+5</f>
        <v>449.9</v>
      </c>
      <c r="D15" s="300">
        <f>+B15-C15</f>
        <v>145417.15</v>
      </c>
      <c r="E15" s="16"/>
    </row>
    <row r="16" spans="1:5" ht="15" customHeight="1">
      <c r="A16" s="19" t="s">
        <v>212</v>
      </c>
      <c r="B16" s="33">
        <f>'[1]3Q13 Trial Balance (FS)'!F44</f>
        <v>1445894</v>
      </c>
      <c r="C16" s="34">
        <v>0</v>
      </c>
      <c r="D16" s="300">
        <f>+B16-C16</f>
        <v>1445894</v>
      </c>
      <c r="E16" s="16"/>
    </row>
    <row r="17" spans="1:6" ht="15" customHeight="1">
      <c r="A17" s="22" t="s">
        <v>30</v>
      </c>
      <c r="B17" s="32">
        <f>SUM(B8:B16)+1</f>
        <v>11496449.360000003</v>
      </c>
      <c r="C17" s="32">
        <f>SUM(C8:C16)</f>
        <v>272525.04000000004</v>
      </c>
      <c r="D17" s="32">
        <f>SUM(D8:D16)</f>
        <v>11223924.32</v>
      </c>
      <c r="E17" s="17"/>
      <c r="F17" s="16"/>
    </row>
    <row r="18" spans="1:4" ht="15" customHeight="1">
      <c r="A18" s="15"/>
      <c r="B18" s="12"/>
      <c r="C18" s="12"/>
      <c r="D18" s="25"/>
    </row>
    <row r="19" spans="1:4" ht="15" customHeight="1">
      <c r="A19" s="20" t="s">
        <v>29</v>
      </c>
      <c r="B19" s="12"/>
      <c r="C19" s="12"/>
      <c r="D19" s="12"/>
    </row>
    <row r="20" spans="1:4" ht="15" customHeight="1">
      <c r="A20" s="19" t="s">
        <v>28</v>
      </c>
      <c r="B20" s="12"/>
      <c r="C20" s="29">
        <f>-'[1]3Q13 Trial Balance (FS)'!F164</f>
        <v>5567852</v>
      </c>
      <c r="D20" s="12"/>
    </row>
    <row r="21" spans="1:4" ht="15" customHeight="1">
      <c r="A21" s="19" t="s">
        <v>27</v>
      </c>
      <c r="B21" s="12"/>
      <c r="C21" s="29">
        <f>-'[1]3Q13 Trial Balance (FS)'!F167</f>
        <v>1450164</v>
      </c>
      <c r="D21" s="12"/>
    </row>
    <row r="22" spans="1:4" ht="15" customHeight="1">
      <c r="A22" s="19" t="s">
        <v>26</v>
      </c>
      <c r="B22" s="12"/>
      <c r="C22" s="29">
        <f>-'[1]3Q13 Trial Balance (FS)'!F161+1</f>
        <v>386106.48</v>
      </c>
      <c r="D22" s="12"/>
    </row>
    <row r="23" spans="1:4" ht="15" customHeight="1">
      <c r="A23" s="19" t="s">
        <v>25</v>
      </c>
      <c r="B23" s="12"/>
      <c r="C23" s="29">
        <f>-'[1]3Q13 Trial Balance (FS)'!F170</f>
        <v>388319.1</v>
      </c>
      <c r="D23" s="12"/>
    </row>
    <row r="24" spans="1:4" ht="15" customHeight="1">
      <c r="A24" s="19" t="s">
        <v>24</v>
      </c>
      <c r="B24" s="12"/>
      <c r="C24" s="29">
        <f>-'[1]3Q13 Trial Balance (FS)'!F176</f>
        <v>138087.2</v>
      </c>
      <c r="D24" s="29"/>
    </row>
    <row r="25" spans="1:4" ht="15" customHeight="1">
      <c r="A25" s="19" t="s">
        <v>23</v>
      </c>
      <c r="B25" s="12"/>
      <c r="C25" s="29">
        <f>-'[1]3Q13 Trial Balance (FS)'!F125</f>
        <v>31796.93</v>
      </c>
      <c r="D25" s="29"/>
    </row>
    <row r="26" spans="1:4" ht="15" customHeight="1">
      <c r="A26" s="19" t="s">
        <v>22</v>
      </c>
      <c r="B26" s="12"/>
      <c r="C26" s="26">
        <f>-'[1]3Q13 Trial Balance (FS)'!F122</f>
        <v>9493.33</v>
      </c>
      <c r="D26" s="14"/>
    </row>
    <row r="27" spans="1:4" ht="15" customHeight="1">
      <c r="A27" s="19"/>
      <c r="B27" s="31"/>
      <c r="C27" s="12"/>
      <c r="D27" s="29"/>
    </row>
    <row r="28" spans="1:4" ht="15" customHeight="1">
      <c r="A28" s="22" t="s">
        <v>21</v>
      </c>
      <c r="B28" s="12"/>
      <c r="C28" s="12"/>
      <c r="D28" s="24">
        <f>SUM(C20:C27)-1</f>
        <v>7971818.04</v>
      </c>
    </row>
    <row r="29" spans="1:4" ht="15" customHeight="1">
      <c r="A29" s="15"/>
      <c r="B29" s="12"/>
      <c r="C29" s="12"/>
      <c r="D29" s="12"/>
    </row>
    <row r="30" spans="1:4" ht="15" customHeight="1">
      <c r="A30" s="20" t="s">
        <v>20</v>
      </c>
      <c r="B30" s="12"/>
      <c r="C30" s="12"/>
      <c r="D30" s="12"/>
    </row>
    <row r="31" spans="1:4" ht="15" customHeight="1">
      <c r="A31" s="19" t="s">
        <v>19</v>
      </c>
      <c r="B31" s="12"/>
      <c r="C31" s="29">
        <f>-'[1]3Q13 Trial Balance (FS)'!F72-1</f>
        <v>5582442.720000001</v>
      </c>
      <c r="D31" s="12"/>
    </row>
    <row r="32" spans="1:6" ht="15" customHeight="1">
      <c r="A32" s="19" t="s">
        <v>18</v>
      </c>
      <c r="B32" s="12"/>
      <c r="C32" s="29">
        <f>-'[1]3Q13 Trial Balance (FS)'!F83</f>
        <v>1747841.61</v>
      </c>
      <c r="D32" s="29"/>
      <c r="E32" s="28"/>
      <c r="F32" s="30"/>
    </row>
    <row r="33" spans="1:6" ht="15" customHeight="1">
      <c r="A33" s="19" t="s">
        <v>17</v>
      </c>
      <c r="B33" s="12"/>
      <c r="C33" s="29">
        <f>-'[1]3Q13 Trial Balance (FS)'!F88</f>
        <v>1030273</v>
      </c>
      <c r="D33" s="29"/>
      <c r="E33" s="28"/>
      <c r="F33" s="30"/>
    </row>
    <row r="34" spans="1:6" ht="15" customHeight="1">
      <c r="A34" s="19" t="s">
        <v>16</v>
      </c>
      <c r="B34" s="12"/>
      <c r="C34" s="29">
        <f>-'[1]3Q13 Trial Balance (FS)'!F101</f>
        <v>205812</v>
      </c>
      <c r="D34" s="29"/>
      <c r="E34" s="28"/>
      <c r="F34" s="30"/>
    </row>
    <row r="35" spans="1:7" ht="15" customHeight="1">
      <c r="A35" s="19" t="s">
        <v>15</v>
      </c>
      <c r="B35" s="14"/>
      <c r="C35" s="29">
        <f>-'[1]3Q13 Trial Balance (FS)'!F112</f>
        <v>147738.84</v>
      </c>
      <c r="D35" s="29"/>
      <c r="E35" s="28"/>
      <c r="F35" s="28"/>
      <c r="G35" s="28"/>
    </row>
    <row r="36" spans="1:4" ht="15" customHeight="1">
      <c r="A36" s="19" t="s">
        <v>14</v>
      </c>
      <c r="B36" s="12"/>
      <c r="C36" s="27">
        <f>-'[1]3Q13 Trial Balance (FS)'!F133</f>
        <v>128332.84999999999</v>
      </c>
      <c r="D36" s="12"/>
    </row>
    <row r="37" spans="1:4" ht="15" customHeight="1">
      <c r="A37" s="19" t="s">
        <v>13</v>
      </c>
      <c r="B37" s="12"/>
      <c r="C37" s="26">
        <f>-'[1]3Q13 Trial Balance (FS)'!F118</f>
        <v>12883.48</v>
      </c>
      <c r="D37" s="12"/>
    </row>
    <row r="38" spans="1:4" ht="15" customHeight="1">
      <c r="A38" s="19"/>
      <c r="B38" s="25"/>
      <c r="C38" s="12"/>
      <c r="D38" s="12"/>
    </row>
    <row r="39" spans="1:4" ht="15" customHeight="1">
      <c r="A39" s="13" t="s">
        <v>12</v>
      </c>
      <c r="B39" s="12"/>
      <c r="C39" s="14"/>
      <c r="D39" s="24">
        <f>SUM(C31:C37)</f>
        <v>8855324.500000002</v>
      </c>
    </row>
    <row r="40" spans="1:4" ht="15" customHeight="1">
      <c r="A40" s="13"/>
      <c r="B40" s="12"/>
      <c r="C40" s="14"/>
      <c r="D40" s="23"/>
    </row>
    <row r="41" spans="1:6" ht="15" customHeight="1">
      <c r="A41" s="22" t="s">
        <v>11</v>
      </c>
      <c r="B41" s="12"/>
      <c r="C41" s="14"/>
      <c r="D41" s="21">
        <f>D28+D39</f>
        <v>16827142.540000003</v>
      </c>
      <c r="F41" s="16"/>
    </row>
    <row r="42" spans="1:4" ht="15" customHeight="1">
      <c r="A42" s="15"/>
      <c r="B42" s="12"/>
      <c r="C42" s="14"/>
      <c r="D42" s="12"/>
    </row>
    <row r="43" spans="1:4" ht="15" customHeight="1">
      <c r="A43" s="20" t="s">
        <v>10</v>
      </c>
      <c r="B43" s="12"/>
      <c r="C43" s="14"/>
      <c r="D43" s="12"/>
    </row>
    <row r="44" spans="1:7" ht="15" customHeight="1">
      <c r="A44" s="19" t="s">
        <v>190</v>
      </c>
      <c r="B44" s="12"/>
      <c r="C44" s="14"/>
      <c r="D44" s="18">
        <f>+D17-D41-1</f>
        <v>-5603219.2200000025</v>
      </c>
      <c r="E44" s="17"/>
      <c r="F44" s="16"/>
      <c r="G44" s="11"/>
    </row>
    <row r="45" spans="1:4" ht="15" customHeight="1">
      <c r="A45" s="15"/>
      <c r="B45" s="14"/>
      <c r="C45" s="14"/>
      <c r="D45" s="12"/>
    </row>
    <row r="46" spans="1:6" ht="15" customHeight="1" thickBot="1">
      <c r="A46" s="13" t="s">
        <v>9</v>
      </c>
      <c r="B46" s="12"/>
      <c r="C46" s="12"/>
      <c r="D46" s="301">
        <f>D41+D44+1</f>
        <v>11223924.32</v>
      </c>
      <c r="E46" s="11"/>
      <c r="F46" s="8"/>
    </row>
    <row r="47" spans="1:5" ht="15" customHeight="1" thickTop="1">
      <c r="A47" s="10"/>
      <c r="B47" s="9"/>
      <c r="C47" s="9"/>
      <c r="D47" s="9"/>
      <c r="E47" s="8"/>
    </row>
    <row r="56" spans="1:4" ht="15" customHeight="1">
      <c r="A56" s="7"/>
      <c r="D56" s="6"/>
    </row>
    <row r="59" spans="2:5" s="3" customFormat="1" ht="15" customHeight="1">
      <c r="B59" s="5"/>
      <c r="C59" s="5"/>
      <c r="E59" s="4"/>
    </row>
  </sheetData>
  <sheetProtection/>
  <mergeCells count="4">
    <mergeCell ref="A2:D2"/>
    <mergeCell ref="A1:E1"/>
    <mergeCell ref="A3:E3"/>
    <mergeCell ref="A4:E4"/>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4" customWidth="1"/>
    <col min="2" max="4" width="16.7109375" style="223" customWidth="1"/>
    <col min="5" max="6" width="16.7109375" style="222" customWidth="1"/>
    <col min="7" max="16384" width="15.7109375" style="132" customWidth="1"/>
  </cols>
  <sheetData>
    <row r="1" spans="1:6" s="248" customFormat="1" ht="24.75" customHeight="1">
      <c r="A1" s="338" t="s">
        <v>0</v>
      </c>
      <c r="B1" s="338"/>
      <c r="C1" s="338"/>
      <c r="D1" s="338"/>
      <c r="E1" s="338"/>
      <c r="F1" s="338"/>
    </row>
    <row r="2" spans="1:6" s="247" customFormat="1" ht="15" customHeight="1">
      <c r="A2" s="225"/>
      <c r="B2" s="244"/>
      <c r="C2" s="244"/>
      <c r="D2" s="244"/>
      <c r="E2" s="244"/>
      <c r="F2" s="244"/>
    </row>
    <row r="3" spans="1:6" s="246" customFormat="1" ht="15" customHeight="1">
      <c r="A3" s="339" t="s">
        <v>168</v>
      </c>
      <c r="B3" s="339"/>
      <c r="C3" s="339"/>
      <c r="D3" s="339"/>
      <c r="E3" s="339"/>
      <c r="F3" s="339"/>
    </row>
    <row r="4" spans="1:6" s="246" customFormat="1" ht="15" customHeight="1">
      <c r="A4" s="339" t="s">
        <v>194</v>
      </c>
      <c r="B4" s="339"/>
      <c r="C4" s="339"/>
      <c r="D4" s="339"/>
      <c r="E4" s="339"/>
      <c r="F4" s="339"/>
    </row>
    <row r="5" spans="1:6" s="243" customFormat="1" ht="15" customHeight="1">
      <c r="A5" s="225"/>
      <c r="B5" s="245"/>
      <c r="C5" s="245"/>
      <c r="D5" s="245"/>
      <c r="E5" s="244"/>
      <c r="F5" s="244"/>
    </row>
    <row r="6" spans="2:6" ht="30" customHeight="1">
      <c r="B6" s="194" t="s">
        <v>173</v>
      </c>
      <c r="C6" s="194" t="s">
        <v>1</v>
      </c>
      <c r="D6" s="194" t="s">
        <v>2</v>
      </c>
      <c r="E6" s="194" t="s">
        <v>3</v>
      </c>
      <c r="F6" s="194" t="s">
        <v>4</v>
      </c>
    </row>
    <row r="7" spans="1:6" ht="15" customHeight="1">
      <c r="A7" s="237" t="s">
        <v>167</v>
      </c>
      <c r="B7" s="226"/>
      <c r="C7" s="226"/>
      <c r="D7" s="226"/>
      <c r="E7" s="226"/>
      <c r="F7" s="226"/>
    </row>
    <row r="8" spans="1:6" ht="15" customHeight="1">
      <c r="A8" s="237" t="s">
        <v>166</v>
      </c>
      <c r="B8" s="242"/>
      <c r="C8" s="242"/>
      <c r="D8" s="242"/>
      <c r="E8" s="242"/>
      <c r="F8" s="242"/>
    </row>
    <row r="9" spans="1:6" ht="15" customHeight="1">
      <c r="A9" s="235" t="s">
        <v>165</v>
      </c>
      <c r="B9" s="290">
        <f>'[2]Loss Expenses Paid YTD-16'!E21</f>
        <v>83643.97</v>
      </c>
      <c r="C9" s="290">
        <f>'[2]Loss Expenses Paid YTD-16'!E15</f>
        <v>3619864.14</v>
      </c>
      <c r="D9" s="290">
        <f>'[2]Loss Expenses Paid YTD-16'!E9+'[1]3Q13 Trial Balance (FS)'!E277</f>
        <v>352769.72000000003</v>
      </c>
      <c r="E9" s="148">
        <v>0</v>
      </c>
      <c r="F9" s="290">
        <f>SUM(B9:E9)</f>
        <v>4056277.8300000005</v>
      </c>
    </row>
    <row r="10" spans="1:6" ht="15" customHeight="1">
      <c r="A10" s="235" t="s">
        <v>148</v>
      </c>
      <c r="B10" s="27">
        <f>'[2]Loss Expenses Paid YTD-16'!E22</f>
        <v>77303.22</v>
      </c>
      <c r="C10" s="27">
        <f>'[2]Loss Expenses Paid YTD-16'!E16+'[1]3Q13 Trial Balance (FS)'!E280</f>
        <v>6518124.46</v>
      </c>
      <c r="D10" s="27">
        <f>'[2]Loss Expenses Paid YTD-16'!E10+'[1]3Q13 Trial Balance (FS)'!E278</f>
        <v>1107926.9000000001</v>
      </c>
      <c r="E10" s="148">
        <v>0</v>
      </c>
      <c r="F10" s="189">
        <f>SUM(B10:E10)-1</f>
        <v>7703353.58</v>
      </c>
    </row>
    <row r="11" spans="1:6" ht="15" customHeight="1">
      <c r="A11" s="235" t="s">
        <v>147</v>
      </c>
      <c r="B11" s="148">
        <f>'[2]Loss Expenses Paid YTD-16'!E23</f>
        <v>0</v>
      </c>
      <c r="C11" s="148">
        <f>'[2]Loss Expenses Paid YTD-16'!E17</f>
        <v>0</v>
      </c>
      <c r="D11" s="148">
        <f>'[2]Loss Expenses Paid YTD-16'!E11</f>
        <v>0</v>
      </c>
      <c r="E11" s="148">
        <v>0</v>
      </c>
      <c r="F11" s="148">
        <f>SUM(B11:E11)</f>
        <v>0</v>
      </c>
    </row>
    <row r="12" spans="1:6" ht="15" customHeight="1" thickBot="1">
      <c r="A12" s="234" t="s">
        <v>146</v>
      </c>
      <c r="B12" s="88">
        <f>SUM(B9:B11)</f>
        <v>160947.19</v>
      </c>
      <c r="C12" s="88">
        <f>SUM(C9:C11)-1</f>
        <v>10137987.6</v>
      </c>
      <c r="D12" s="88">
        <f>SUM(D9:D11)</f>
        <v>1460696.62</v>
      </c>
      <c r="E12" s="260">
        <f>SUM(E9:E11)</f>
        <v>0</v>
      </c>
      <c r="F12" s="241">
        <f>SUM(F9:F11)+1</f>
        <v>11759632.41</v>
      </c>
    </row>
    <row r="13" spans="1:6" ht="15" customHeight="1" thickTop="1">
      <c r="A13" s="237"/>
      <c r="B13" s="236"/>
      <c r="C13" s="236"/>
      <c r="D13" s="236"/>
      <c r="E13" s="189"/>
      <c r="F13" s="189"/>
    </row>
    <row r="14" spans="1:6" ht="15" customHeight="1">
      <c r="A14" s="237" t="s">
        <v>201</v>
      </c>
      <c r="B14" s="236"/>
      <c r="C14" s="236"/>
      <c r="D14" s="236"/>
      <c r="E14" s="189"/>
      <c r="F14" s="189"/>
    </row>
    <row r="15" spans="1:6" ht="15" customHeight="1">
      <c r="A15" s="235" t="s">
        <v>162</v>
      </c>
      <c r="B15" s="27">
        <f>'[2]Unpaid Loss Reserves-13'!B9</f>
        <v>218466</v>
      </c>
      <c r="C15" s="27">
        <f>'[2]Unpaid Loss Reserves-13'!C9</f>
        <v>1159506.6</v>
      </c>
      <c r="D15" s="27">
        <f>'[2]Unpaid Loss Reserves-13'!D9</f>
        <v>67262.79</v>
      </c>
      <c r="E15" s="148">
        <v>0</v>
      </c>
      <c r="F15" s="189">
        <f>SUM(B15:E15)+1</f>
        <v>1445236.3900000001</v>
      </c>
    </row>
    <row r="16" spans="1:6" ht="15" customHeight="1">
      <c r="A16" s="235" t="s">
        <v>161</v>
      </c>
      <c r="B16" s="27">
        <f>'[2]Unpaid Loss Reserves-13'!B10</f>
        <v>58200</v>
      </c>
      <c r="C16" s="27">
        <f>'[2]Unpaid Loss Reserves-13'!C10</f>
        <v>223906.22</v>
      </c>
      <c r="D16" s="27">
        <f>'[2]Unpaid Loss Reserves-13'!D10</f>
        <v>20500</v>
      </c>
      <c r="E16" s="148">
        <v>0</v>
      </c>
      <c r="F16" s="189">
        <f>SUM(B16:E16)</f>
        <v>302606.22</v>
      </c>
    </row>
    <row r="17" spans="1:6" ht="15" customHeight="1">
      <c r="A17" s="235" t="s">
        <v>160</v>
      </c>
      <c r="B17" s="148">
        <f>'[2]Unpaid Loss Reserves-13'!B11</f>
        <v>0</v>
      </c>
      <c r="C17" s="148">
        <f>'[2]Unpaid Loss Reserves-13'!C11</f>
        <v>0</v>
      </c>
      <c r="D17" s="148">
        <f>'[2]Unpaid Loss Reserves-13'!D11</f>
        <v>0</v>
      </c>
      <c r="E17" s="148">
        <v>0</v>
      </c>
      <c r="F17" s="148">
        <f>SUM(B17:E17)</f>
        <v>0</v>
      </c>
    </row>
    <row r="18" spans="1:6" ht="15" customHeight="1" thickBot="1">
      <c r="A18" s="234" t="s">
        <v>146</v>
      </c>
      <c r="B18" s="88">
        <f>SUM(B15:B17)</f>
        <v>276666</v>
      </c>
      <c r="C18" s="88">
        <f>SUM(C15:C17)</f>
        <v>1383412.82</v>
      </c>
      <c r="D18" s="88">
        <f>SUM(D15:D17)</f>
        <v>87762.79</v>
      </c>
      <c r="E18" s="260">
        <f>SUM(E15:E17)</f>
        <v>0</v>
      </c>
      <c r="F18" s="241">
        <f>SUM(F15:F17)-1</f>
        <v>1747841.61</v>
      </c>
    </row>
    <row r="19" spans="1:6" ht="15" customHeight="1" thickTop="1">
      <c r="A19" s="237"/>
      <c r="B19" s="89"/>
      <c r="C19" s="89"/>
      <c r="D19" s="89"/>
      <c r="E19" s="240"/>
      <c r="F19" s="240"/>
    </row>
    <row r="20" spans="1:6" ht="15" customHeight="1">
      <c r="A20" s="237" t="s">
        <v>202</v>
      </c>
      <c r="B20" s="232"/>
      <c r="C20" s="232"/>
      <c r="D20" s="232"/>
      <c r="E20" s="232"/>
      <c r="F20" s="232"/>
    </row>
    <row r="21" spans="1:6" ht="15" customHeight="1">
      <c r="A21" s="235" t="s">
        <v>162</v>
      </c>
      <c r="B21" s="27">
        <f>'[2]Unpaid Loss Reserves-13'!B16</f>
        <v>813542.76</v>
      </c>
      <c r="C21" s="148">
        <f>'[2]Unpaid Loss Reserves-13'!C16</f>
        <v>0</v>
      </c>
      <c r="D21" s="148">
        <f>'[2]Unpaid Loss Reserves-13'!D16</f>
        <v>0</v>
      </c>
      <c r="E21" s="148">
        <v>0</v>
      </c>
      <c r="F21" s="189">
        <f>SUM(B21:E21)</f>
        <v>813542.76</v>
      </c>
    </row>
    <row r="22" spans="1:6" ht="15" customHeight="1">
      <c r="A22" s="235" t="s">
        <v>161</v>
      </c>
      <c r="B22" s="27">
        <f>'[2]Unpaid Loss Reserves-13'!B17</f>
        <v>216730.24</v>
      </c>
      <c r="C22" s="148">
        <f>'[2]Unpaid Loss Reserves-13'!C17</f>
        <v>0</v>
      </c>
      <c r="D22" s="148">
        <f>'[2]Unpaid Loss Reserves-13'!D17</f>
        <v>0</v>
      </c>
      <c r="E22" s="148">
        <v>0</v>
      </c>
      <c r="F22" s="189">
        <f>SUM(B22:E22)</f>
        <v>216730.24</v>
      </c>
    </row>
    <row r="23" spans="1:6" ht="15" customHeight="1">
      <c r="A23" s="235" t="s">
        <v>160</v>
      </c>
      <c r="B23" s="148">
        <f>'[2]Unpaid Loss Reserves-13'!B18</f>
        <v>0</v>
      </c>
      <c r="C23" s="148">
        <f>'[2]Unpaid Loss Reserves-13'!C18</f>
        <v>0</v>
      </c>
      <c r="D23" s="148">
        <f>'[2]Unpaid Loss Reserves-13'!D18</f>
        <v>0</v>
      </c>
      <c r="E23" s="148">
        <v>0</v>
      </c>
      <c r="F23" s="148">
        <f>SUM(B23:E23)</f>
        <v>0</v>
      </c>
    </row>
    <row r="24" spans="1:6" ht="15" customHeight="1" thickBot="1">
      <c r="A24" s="234" t="s">
        <v>146</v>
      </c>
      <c r="B24" s="88">
        <f>SUM(B21:B23)</f>
        <v>1030273</v>
      </c>
      <c r="C24" s="260">
        <f>SUM(C21:C23)</f>
        <v>0</v>
      </c>
      <c r="D24" s="260">
        <f>SUM(D21:D23)</f>
        <v>0</v>
      </c>
      <c r="E24" s="260">
        <f>SUM(E21:E23)</f>
        <v>0</v>
      </c>
      <c r="F24" s="241">
        <f>SUM(F21:F23)</f>
        <v>1030273</v>
      </c>
    </row>
    <row r="25" spans="1:6" ht="15" customHeight="1" thickTop="1">
      <c r="A25" s="237"/>
      <c r="B25" s="236"/>
      <c r="C25" s="236"/>
      <c r="D25" s="236"/>
      <c r="E25" s="189"/>
      <c r="F25" s="189"/>
    </row>
    <row r="26" spans="1:6" ht="15" customHeight="1">
      <c r="A26" s="237" t="s">
        <v>175</v>
      </c>
      <c r="B26" s="239"/>
      <c r="C26" s="239"/>
      <c r="D26" s="239"/>
      <c r="E26" s="189"/>
      <c r="F26" s="189"/>
    </row>
    <row r="27" spans="1:6" ht="15" customHeight="1">
      <c r="A27" s="237" t="s">
        <v>164</v>
      </c>
      <c r="B27" s="239"/>
      <c r="C27" s="239"/>
      <c r="D27" s="239"/>
      <c r="E27" s="189"/>
      <c r="F27" s="189"/>
    </row>
    <row r="28" spans="1:6" ht="15" customHeight="1">
      <c r="A28" s="235" t="s">
        <v>162</v>
      </c>
      <c r="B28" s="148">
        <v>0</v>
      </c>
      <c r="C28" s="189">
        <v>1539043.47</v>
      </c>
      <c r="D28" s="189">
        <v>359984.8</v>
      </c>
      <c r="E28" s="189">
        <v>52262.79</v>
      </c>
      <c r="F28" s="189">
        <f>SUM(B28:E28)</f>
        <v>1951291.06</v>
      </c>
    </row>
    <row r="29" spans="1:6" ht="15" customHeight="1">
      <c r="A29" s="235" t="s">
        <v>161</v>
      </c>
      <c r="B29" s="148">
        <v>0</v>
      </c>
      <c r="C29" s="189">
        <v>6155629.98</v>
      </c>
      <c r="D29" s="189">
        <v>1142145.27</v>
      </c>
      <c r="E29" s="174">
        <v>0</v>
      </c>
      <c r="F29" s="189">
        <f>SUM(B29:E29)</f>
        <v>7297775.25</v>
      </c>
    </row>
    <row r="30" spans="1:6" ht="15" customHeight="1">
      <c r="A30" s="235" t="s">
        <v>160</v>
      </c>
      <c r="B30" s="148">
        <v>0</v>
      </c>
      <c r="C30" s="148">
        <v>0</v>
      </c>
      <c r="D30" s="148">
        <v>0</v>
      </c>
      <c r="E30" s="148">
        <v>0</v>
      </c>
      <c r="F30" s="148">
        <f>SUM(B30:E30)</f>
        <v>0</v>
      </c>
    </row>
    <row r="31" spans="1:6" ht="15" customHeight="1" thickBot="1">
      <c r="A31" s="234" t="s">
        <v>146</v>
      </c>
      <c r="B31" s="260">
        <f>SUM(B28:B30)</f>
        <v>0</v>
      </c>
      <c r="C31" s="88">
        <f>SUM(C28:C30)</f>
        <v>7694673.45</v>
      </c>
      <c r="D31" s="88">
        <f>SUM(D28:D30)</f>
        <v>1502130.07</v>
      </c>
      <c r="E31" s="88">
        <f>SUM(E28:E30)</f>
        <v>52262.79</v>
      </c>
      <c r="F31" s="241">
        <f>SUM(F28:F30)</f>
        <v>9249066.31</v>
      </c>
    </row>
    <row r="32" spans="1:6" s="238" customFormat="1" ht="15" customHeight="1" thickTop="1">
      <c r="A32" s="237"/>
      <c r="B32" s="239"/>
      <c r="C32" s="239"/>
      <c r="D32" s="239"/>
      <c r="E32" s="239"/>
      <c r="F32" s="239"/>
    </row>
    <row r="33" spans="1:6" ht="15" customHeight="1">
      <c r="A33" s="237" t="s">
        <v>163</v>
      </c>
      <c r="B33" s="236"/>
      <c r="C33" s="236"/>
      <c r="D33" s="236"/>
      <c r="E33" s="189"/>
      <c r="F33" s="189"/>
    </row>
    <row r="34" spans="1:6" ht="15" customHeight="1">
      <c r="A34" s="235" t="s">
        <v>162</v>
      </c>
      <c r="B34" s="189">
        <f aca="true" t="shared" si="0" ref="B34:C36">B9+(B15+B21-B28)</f>
        <v>1115652.73</v>
      </c>
      <c r="C34" s="189">
        <f>C9+(C15+C21-C28)+1</f>
        <v>3240328.2700000005</v>
      </c>
      <c r="D34" s="189">
        <f aca="true" t="shared" si="1" ref="D34:E36">D9+(D15+D21-D28)</f>
        <v>60047.71000000002</v>
      </c>
      <c r="E34" s="188">
        <f t="shared" si="1"/>
        <v>-52262.79</v>
      </c>
      <c r="F34" s="189">
        <f>SUM(B34:E34)</f>
        <v>4363765.92</v>
      </c>
    </row>
    <row r="35" spans="1:6" ht="15" customHeight="1">
      <c r="A35" s="235" t="s">
        <v>161</v>
      </c>
      <c r="B35" s="189">
        <f t="shared" si="0"/>
        <v>352233.45999999996</v>
      </c>
      <c r="C35" s="189">
        <f>C10+(C16+C22-C29)-1</f>
        <v>586399.6999999993</v>
      </c>
      <c r="D35" s="188">
        <f t="shared" si="1"/>
        <v>-13718.369999999879</v>
      </c>
      <c r="E35" s="174">
        <f t="shared" si="1"/>
        <v>0</v>
      </c>
      <c r="F35" s="189">
        <f>SUM(B35:E35)</f>
        <v>924914.7899999993</v>
      </c>
    </row>
    <row r="36" spans="1:6" ht="15" customHeight="1">
      <c r="A36" s="235" t="s">
        <v>160</v>
      </c>
      <c r="B36" s="148">
        <f t="shared" si="0"/>
        <v>0</v>
      </c>
      <c r="C36" s="148">
        <f t="shared" si="0"/>
        <v>0</v>
      </c>
      <c r="D36" s="148">
        <f t="shared" si="1"/>
        <v>0</v>
      </c>
      <c r="E36" s="148">
        <f t="shared" si="1"/>
        <v>0</v>
      </c>
      <c r="F36" s="148">
        <f>SUM(B36:E36)</f>
        <v>0</v>
      </c>
    </row>
    <row r="37" spans="1:6" ht="15" customHeight="1" thickBot="1">
      <c r="A37" s="234" t="s">
        <v>146</v>
      </c>
      <c r="B37" s="233">
        <f>SUM(B34:B36)</f>
        <v>1467886.19</v>
      </c>
      <c r="C37" s="233">
        <f>SUM(C34:C36)</f>
        <v>3826727.9699999997</v>
      </c>
      <c r="D37" s="233">
        <f>SUM(D34:D36)+1</f>
        <v>46330.34000000014</v>
      </c>
      <c r="E37" s="233">
        <f>SUM(E34:E36)</f>
        <v>-52262.79</v>
      </c>
      <c r="F37" s="233">
        <f>SUM(F34:F36)</f>
        <v>5288680.709999999</v>
      </c>
    </row>
    <row r="38" spans="2:6" ht="15" customHeight="1" thickTop="1">
      <c r="B38" s="232"/>
      <c r="C38" s="232"/>
      <c r="D38" s="232"/>
      <c r="F38" s="189"/>
    </row>
    <row r="39" spans="1:6" s="227" customFormat="1" ht="15" customHeight="1">
      <c r="A39" s="231"/>
      <c r="B39" s="230"/>
      <c r="C39" s="230"/>
      <c r="D39" s="230"/>
      <c r="E39" s="229"/>
      <c r="F39" s="189"/>
    </row>
    <row r="40" spans="2:4" ht="15" customHeight="1">
      <c r="B40" s="226"/>
      <c r="C40" s="226"/>
      <c r="D40" s="226"/>
    </row>
    <row r="41" spans="2:4" ht="15" customHeight="1">
      <c r="B41" s="226"/>
      <c r="C41" s="226"/>
      <c r="D41" s="226"/>
    </row>
    <row r="42" spans="2:4" ht="15" customHeight="1">
      <c r="B42" s="226"/>
      <c r="C42" s="226"/>
      <c r="D42" s="226"/>
    </row>
    <row r="43" spans="1:4" ht="15" customHeight="1">
      <c r="A43" s="225"/>
      <c r="B43" s="226"/>
      <c r="C43" s="226"/>
      <c r="D43" s="226"/>
    </row>
    <row r="44" spans="1:4" ht="15" customHeight="1">
      <c r="A44" s="225"/>
      <c r="B44" s="226"/>
      <c r="C44" s="226"/>
      <c r="D44" s="226"/>
    </row>
    <row r="45" spans="1:4" ht="15" customHeight="1">
      <c r="A45" s="225"/>
      <c r="B45" s="226"/>
      <c r="C45" s="226"/>
      <c r="D45" s="226"/>
    </row>
    <row r="46" spans="1:4" ht="15" customHeight="1">
      <c r="A46" s="225"/>
      <c r="B46" s="226"/>
      <c r="C46" s="226"/>
      <c r="D46" s="226"/>
    </row>
    <row r="47" spans="1:4" ht="15" customHeight="1">
      <c r="A47" s="225"/>
      <c r="B47" s="226"/>
      <c r="C47" s="226"/>
      <c r="D47" s="226"/>
    </row>
    <row r="48" spans="1:4" ht="15" customHeight="1">
      <c r="A48" s="225"/>
      <c r="B48" s="226"/>
      <c r="C48" s="226"/>
      <c r="D48" s="226"/>
    </row>
    <row r="49" spans="1:4" s="132" customFormat="1" ht="15" customHeight="1">
      <c r="A49" s="225"/>
      <c r="B49" s="226"/>
      <c r="C49" s="226"/>
      <c r="D49" s="226"/>
    </row>
    <row r="50" spans="1:4" s="132" customFormat="1" ht="15" customHeight="1">
      <c r="A50" s="225"/>
      <c r="B50" s="226"/>
      <c r="C50" s="226"/>
      <c r="D50" s="226"/>
    </row>
    <row r="51" spans="1:4" s="132" customFormat="1" ht="15" customHeight="1">
      <c r="A51" s="225"/>
      <c r="B51" s="226"/>
      <c r="C51" s="226"/>
      <c r="D51" s="226"/>
    </row>
    <row r="52" spans="1:4" s="132" customFormat="1" ht="15" customHeight="1">
      <c r="A52" s="225"/>
      <c r="B52" s="226"/>
      <c r="C52" s="226"/>
      <c r="D52" s="226"/>
    </row>
    <row r="53" spans="1:4" s="132" customFormat="1" ht="15" customHeight="1">
      <c r="A53" s="225"/>
      <c r="B53" s="226"/>
      <c r="C53" s="226"/>
      <c r="D53" s="226"/>
    </row>
    <row r="54" spans="1:4" s="132" customFormat="1" ht="15" customHeight="1">
      <c r="A54" s="225"/>
      <c r="B54" s="226"/>
      <c r="C54" s="226"/>
      <c r="D54" s="226"/>
    </row>
    <row r="55" spans="1:4" s="132" customFormat="1" ht="15" customHeight="1">
      <c r="A55" s="225"/>
      <c r="B55" s="223"/>
      <c r="C55" s="223"/>
      <c r="D55" s="223"/>
    </row>
    <row r="56" spans="1:4" s="132" customFormat="1" ht="15" customHeight="1">
      <c r="A56" s="225"/>
      <c r="B56" s="223"/>
      <c r="C56" s="223"/>
      <c r="D56" s="223"/>
    </row>
    <row r="57" spans="1:4" s="132" customFormat="1" ht="15" customHeight="1">
      <c r="A57" s="225"/>
      <c r="B57" s="223"/>
      <c r="C57" s="223"/>
      <c r="D57" s="223"/>
    </row>
    <row r="58" spans="1:4" s="132" customFormat="1" ht="15" customHeight="1">
      <c r="A58" s="225"/>
      <c r="B58" s="223"/>
      <c r="C58" s="223"/>
      <c r="D58" s="223"/>
    </row>
    <row r="59" spans="1:4" s="132" customFormat="1" ht="15" customHeight="1">
      <c r="A59" s="225"/>
      <c r="B59" s="223"/>
      <c r="C59" s="223"/>
      <c r="D59" s="223"/>
    </row>
    <row r="60" spans="1:4" s="132" customFormat="1" ht="15" customHeight="1">
      <c r="A60" s="225"/>
      <c r="B60" s="223"/>
      <c r="C60" s="223"/>
      <c r="D60" s="223"/>
    </row>
    <row r="61" spans="1:4" s="132" customFormat="1" ht="15" customHeight="1">
      <c r="A61" s="225"/>
      <c r="B61" s="223"/>
      <c r="C61" s="223"/>
      <c r="D61" s="223"/>
    </row>
    <row r="62" spans="1:4" s="132" customFormat="1" ht="15" customHeight="1">
      <c r="A62" s="225"/>
      <c r="B62" s="223"/>
      <c r="C62" s="223"/>
      <c r="D62" s="223"/>
    </row>
    <row r="63" spans="1:4" s="132" customFormat="1" ht="15" customHeight="1">
      <c r="A63" s="225"/>
      <c r="B63" s="223"/>
      <c r="C63" s="223"/>
      <c r="D63" s="223"/>
    </row>
    <row r="64" spans="1:4" s="132" customFormat="1" ht="15" customHeight="1">
      <c r="A64" s="225"/>
      <c r="B64" s="223"/>
      <c r="C64" s="223"/>
      <c r="D64" s="223"/>
    </row>
    <row r="65" s="132" customFormat="1" ht="15" customHeight="1">
      <c r="A65" s="225"/>
    </row>
    <row r="66" s="132" customFormat="1" ht="15" customHeight="1">
      <c r="A66" s="225"/>
    </row>
    <row r="67" s="132" customFormat="1" ht="15" customHeight="1">
      <c r="A67" s="225"/>
    </row>
    <row r="68" s="132" customFormat="1" ht="15" customHeight="1">
      <c r="A68" s="225"/>
    </row>
    <row r="69" s="132" customFormat="1" ht="15" customHeight="1">
      <c r="A69" s="225"/>
    </row>
    <row r="70" s="132" customFormat="1" ht="15" customHeight="1">
      <c r="A70" s="225"/>
    </row>
    <row r="71" s="132" customFormat="1" ht="15" customHeight="1">
      <c r="A71" s="225"/>
    </row>
    <row r="72" s="132" customFormat="1" ht="15" customHeight="1">
      <c r="A72" s="225"/>
    </row>
    <row r="73" s="132" customFormat="1" ht="15" customHeight="1">
      <c r="A73" s="225"/>
    </row>
    <row r="74" s="132" customFormat="1" ht="15" customHeight="1">
      <c r="A74" s="225"/>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5" customWidth="1"/>
    <col min="2" max="2" width="19.00390625" style="170" customWidth="1"/>
    <col min="3" max="3" width="18.421875" style="170" customWidth="1"/>
    <col min="4" max="5" width="18.140625" style="170" customWidth="1"/>
    <col min="6" max="6" width="20.7109375" style="46" customWidth="1"/>
    <col min="7" max="7" width="15.7109375" style="46" customWidth="1"/>
    <col min="8" max="16384" width="15.7109375" style="45" customWidth="1"/>
  </cols>
  <sheetData>
    <row r="1" spans="1:7" s="272" customFormat="1" ht="30" customHeight="1">
      <c r="A1" s="276" t="s">
        <v>0</v>
      </c>
      <c r="B1" s="275"/>
      <c r="C1" s="275"/>
      <c r="D1" s="275"/>
      <c r="E1" s="275"/>
      <c r="F1" s="274"/>
      <c r="G1" s="273"/>
    </row>
    <row r="2" spans="1:6" ht="15" customHeight="1">
      <c r="A2" s="271"/>
      <c r="B2" s="270"/>
      <c r="C2" s="270"/>
      <c r="D2" s="270"/>
      <c r="E2" s="270"/>
      <c r="F2" s="265"/>
    </row>
    <row r="3" spans="1:7" s="164" customFormat="1" ht="15" customHeight="1">
      <c r="A3" s="269" t="s">
        <v>172</v>
      </c>
      <c r="B3" s="268"/>
      <c r="C3" s="268"/>
      <c r="D3" s="268"/>
      <c r="E3" s="268"/>
      <c r="F3" s="267"/>
      <c r="G3" s="165"/>
    </row>
    <row r="4" spans="1:7" s="164" customFormat="1" ht="15" customHeight="1">
      <c r="A4" s="269" t="s">
        <v>171</v>
      </c>
      <c r="B4" s="268"/>
      <c r="C4" s="268"/>
      <c r="D4" s="268"/>
      <c r="E4" s="268"/>
      <c r="F4" s="267"/>
      <c r="G4" s="165"/>
    </row>
    <row r="5" spans="1:7" s="164" customFormat="1" ht="15" customHeight="1">
      <c r="A5" s="72" t="s">
        <v>195</v>
      </c>
      <c r="B5" s="268"/>
      <c r="C5" s="268"/>
      <c r="D5" s="268"/>
      <c r="E5" s="268"/>
      <c r="F5" s="267"/>
      <c r="G5" s="165"/>
    </row>
    <row r="6" spans="1:6" ht="15" customHeight="1">
      <c r="A6" s="266"/>
      <c r="F6" s="265"/>
    </row>
    <row r="7" spans="1:6" ht="30" customHeight="1">
      <c r="A7" s="127"/>
      <c r="B7" s="194" t="s">
        <v>173</v>
      </c>
      <c r="C7" s="194" t="s">
        <v>1</v>
      </c>
      <c r="D7" s="194" t="s">
        <v>2</v>
      </c>
      <c r="E7" s="194" t="s">
        <v>3</v>
      </c>
      <c r="F7" s="264" t="s">
        <v>4</v>
      </c>
    </row>
    <row r="8" spans="1:6" ht="30" customHeight="1">
      <c r="A8" s="263" t="s">
        <v>170</v>
      </c>
      <c r="B8" s="262"/>
      <c r="C8" s="262"/>
      <c r="D8" s="262"/>
      <c r="E8" s="262"/>
      <c r="F8" s="261"/>
    </row>
    <row r="9" spans="1:37" ht="15" customHeight="1">
      <c r="A9" s="45" t="s">
        <v>5</v>
      </c>
      <c r="B9" s="290">
        <f>'[2]Loss Expenses Paid QTD-15'!K21</f>
        <v>12915.259999999998</v>
      </c>
      <c r="C9" s="290">
        <f>'[2]Loss Expenses Paid QTD-15'!K15</f>
        <v>115653.6</v>
      </c>
      <c r="D9" s="290">
        <f>'[2]Loss Expenses Paid QTD-15'!K9</f>
        <v>5043.55</v>
      </c>
      <c r="E9" s="148">
        <v>0</v>
      </c>
      <c r="F9" s="290">
        <f>SUM(B9:E9)+1</f>
        <v>133613.41</v>
      </c>
      <c r="G9" s="27"/>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row>
    <row r="10" spans="1:37" s="58" customFormat="1" ht="15" customHeight="1">
      <c r="A10" s="58" t="s">
        <v>6</v>
      </c>
      <c r="B10" s="27">
        <f>'[2]Loss Expenses Paid QTD-15'!K22</f>
        <v>19910.56</v>
      </c>
      <c r="C10" s="27">
        <f>'[2]Loss Expenses Paid QTD-15'!K16</f>
        <v>110414.14</v>
      </c>
      <c r="D10" s="27">
        <f>'[2]Loss Expenses Paid QTD-15'!K10</f>
        <v>22366.93</v>
      </c>
      <c r="E10" s="148">
        <v>0</v>
      </c>
      <c r="F10" s="27">
        <f>SUM(B10:E10)</f>
        <v>152691.63</v>
      </c>
      <c r="G10" s="27"/>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row>
    <row r="11" spans="1:37" s="58" customFormat="1" ht="15" customHeight="1">
      <c r="A11" s="58" t="s">
        <v>7</v>
      </c>
      <c r="B11" s="148">
        <f>'[2]Loss Expenses Paid QTD-15'!K23</f>
        <v>0</v>
      </c>
      <c r="C11" s="148">
        <f>'[2]Loss Expenses Paid QTD-15'!K17</f>
        <v>0</v>
      </c>
      <c r="D11" s="148">
        <f>'[2]Loss Expenses Paid QTD-15'!K11</f>
        <v>0</v>
      </c>
      <c r="E11" s="148">
        <v>0</v>
      </c>
      <c r="F11" s="148">
        <f>SUM(B11:E11)</f>
        <v>0</v>
      </c>
      <c r="G11" s="27"/>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row>
    <row r="12" spans="1:37" s="58" customFormat="1" ht="15" customHeight="1" thickBot="1">
      <c r="A12" s="258" t="s">
        <v>146</v>
      </c>
      <c r="B12" s="257">
        <f>SUM(B9:B11)</f>
        <v>32825.82</v>
      </c>
      <c r="C12" s="257">
        <f>SUM(C9:C11)</f>
        <v>226067.74</v>
      </c>
      <c r="D12" s="257">
        <f>SUM(D9:D11)+1</f>
        <v>27411.48</v>
      </c>
      <c r="E12" s="260">
        <f>SUM(E9:E11)</f>
        <v>0</v>
      </c>
      <c r="F12" s="182">
        <f>SUM(F9:F11)</f>
        <v>286305.04000000004</v>
      </c>
      <c r="G12" s="148"/>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row>
    <row r="13" spans="2:37" s="58" customFormat="1" ht="15" customHeight="1" thickTop="1">
      <c r="B13" s="176"/>
      <c r="C13" s="176"/>
      <c r="D13" s="176"/>
      <c r="E13" s="176"/>
      <c r="F13" s="46"/>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row>
    <row r="14" spans="1:37" s="58" customFormat="1" ht="30" customHeight="1">
      <c r="A14" s="253" t="s">
        <v>198</v>
      </c>
      <c r="B14" s="176"/>
      <c r="C14" s="176"/>
      <c r="D14" s="176"/>
      <c r="E14" s="176"/>
      <c r="F14" s="148"/>
      <c r="G14" s="27"/>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row>
    <row r="15" spans="1:37" s="58" customFormat="1" ht="15" customHeight="1">
      <c r="A15" s="45" t="s">
        <v>5</v>
      </c>
      <c r="B15" s="27">
        <f>'[2]Unpaid Loss Expense Reserves-14'!B22</f>
        <v>113218.38</v>
      </c>
      <c r="C15" s="27">
        <f>'[2]Unpaid Loss Expense Reserves-14'!C22</f>
        <v>128197.51</v>
      </c>
      <c r="D15" s="27">
        <f>'[2]Unpaid Loss Expense Reserves-14'!D22</f>
        <v>43853.5</v>
      </c>
      <c r="E15" s="148">
        <v>0</v>
      </c>
      <c r="F15" s="27">
        <f>SUM(B15:E15)+1</f>
        <v>285270.39</v>
      </c>
      <c r="G15" s="27"/>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row>
    <row r="16" spans="1:37" s="58" customFormat="1" ht="15" customHeight="1">
      <c r="A16" s="58" t="s">
        <v>6</v>
      </c>
      <c r="B16" s="27">
        <f>'[2]Unpaid Loss Expense Reserves-14'!B23</f>
        <v>30161.46</v>
      </c>
      <c r="C16" s="27">
        <f>'[2]Unpaid Loss Expense Reserves-14'!C23</f>
        <v>24754.55</v>
      </c>
      <c r="D16" s="27">
        <f>'[2]Unpaid Loss Expense Reserves-14'!D23</f>
        <v>13365.439999999999</v>
      </c>
      <c r="E16" s="148">
        <v>0</v>
      </c>
      <c r="F16" s="27">
        <f>SUM(B16:E16)</f>
        <v>68281.45</v>
      </c>
      <c r="G16" s="27"/>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row>
    <row r="17" spans="1:37" s="58" customFormat="1" ht="15" customHeight="1">
      <c r="A17" s="58" t="s">
        <v>7</v>
      </c>
      <c r="B17" s="148">
        <f>'[2]Unpaid Loss Expense Reserves-14'!B24</f>
        <v>0</v>
      </c>
      <c r="C17" s="148">
        <f>'[2]Unpaid Loss Expense Reserves-14'!C24</f>
        <v>0</v>
      </c>
      <c r="D17" s="148">
        <f>'[2]Unpaid Loss Expense Reserves-14'!D24</f>
        <v>0</v>
      </c>
      <c r="E17" s="148">
        <v>0</v>
      </c>
      <c r="F17" s="148">
        <f>SUM(B17:E17)</f>
        <v>0</v>
      </c>
      <c r="G17" s="27"/>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row>
    <row r="18" spans="1:37" s="58" customFormat="1" ht="15" customHeight="1" thickBot="1">
      <c r="A18" s="258" t="s">
        <v>146</v>
      </c>
      <c r="B18" s="257">
        <f>SUM(B15:B17)-1</f>
        <v>143378.84</v>
      </c>
      <c r="C18" s="257">
        <f>SUM(C15:C17)+1</f>
        <v>152953.06</v>
      </c>
      <c r="D18" s="257">
        <f>SUM(D15:D17)</f>
        <v>57218.94</v>
      </c>
      <c r="E18" s="260">
        <f>SUM(E15:E17)</f>
        <v>0</v>
      </c>
      <c r="F18" s="182">
        <f>SUM(F15:F17)-1</f>
        <v>353550.84</v>
      </c>
      <c r="G18" s="148"/>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row>
    <row r="19" spans="2:37" s="58" customFormat="1" ht="15" customHeight="1" thickTop="1">
      <c r="B19" s="176"/>
      <c r="C19" s="176"/>
      <c r="D19" s="176"/>
      <c r="E19" s="176"/>
      <c r="F19" s="46"/>
      <c r="G19" s="259"/>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row>
    <row r="20" spans="1:37" s="58" customFormat="1" ht="30" customHeight="1">
      <c r="A20" s="253" t="s">
        <v>200</v>
      </c>
      <c r="B20" s="184"/>
      <c r="C20" s="184"/>
      <c r="D20" s="184"/>
      <c r="E20" s="184"/>
      <c r="F20" s="148"/>
      <c r="G20" s="27"/>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row>
    <row r="21" spans="1:37" s="58" customFormat="1" ht="15" customHeight="1">
      <c r="A21" s="45" t="s">
        <v>5</v>
      </c>
      <c r="B21" s="27">
        <v>40209.4</v>
      </c>
      <c r="C21" s="27">
        <v>165804.06</v>
      </c>
      <c r="D21" s="27">
        <v>37924.46000000001</v>
      </c>
      <c r="E21" s="148">
        <v>0</v>
      </c>
      <c r="F21" s="27">
        <f>SUM(B21:E21)-1</f>
        <v>243936.91999999998</v>
      </c>
      <c r="G21" s="27"/>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row>
    <row r="22" spans="1:37" s="58" customFormat="1" ht="15" customHeight="1">
      <c r="A22" s="58" t="s">
        <v>8</v>
      </c>
      <c r="B22" s="27">
        <v>37079.47</v>
      </c>
      <c r="C22" s="27">
        <v>32794.53</v>
      </c>
      <c r="D22" s="27">
        <v>38313.969999999994</v>
      </c>
      <c r="E22" s="148">
        <v>0</v>
      </c>
      <c r="F22" s="27">
        <f>SUM(B22:E22)</f>
        <v>108187.97</v>
      </c>
      <c r="G22" s="27"/>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row>
    <row r="23" spans="1:37" s="58" customFormat="1" ht="15" customHeight="1">
      <c r="A23" s="58" t="s">
        <v>7</v>
      </c>
      <c r="B23" s="148">
        <v>0</v>
      </c>
      <c r="C23" s="148">
        <v>0</v>
      </c>
      <c r="D23" s="148">
        <v>0</v>
      </c>
      <c r="E23" s="148">
        <v>0</v>
      </c>
      <c r="F23" s="148">
        <f>SUM(B23:E23)</f>
        <v>0</v>
      </c>
      <c r="G23" s="27"/>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row>
    <row r="24" spans="1:37" s="58" customFormat="1" ht="15" customHeight="1" thickBot="1">
      <c r="A24" s="258" t="s">
        <v>146</v>
      </c>
      <c r="B24" s="257">
        <f>SUM(B21:B23)-1</f>
        <v>77287.87</v>
      </c>
      <c r="C24" s="257">
        <f>SUM(C21:C23)</f>
        <v>198598.59</v>
      </c>
      <c r="D24" s="257">
        <f>SUM(D21:D23)</f>
        <v>76238.43</v>
      </c>
      <c r="E24" s="260">
        <f>SUM(E21:E23)</f>
        <v>0</v>
      </c>
      <c r="F24" s="182">
        <f>SUM(F21:F23)</f>
        <v>352124.89</v>
      </c>
      <c r="G24" s="148"/>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row>
    <row r="25" spans="2:37" s="254" customFormat="1" ht="15" customHeight="1" thickTop="1">
      <c r="B25" s="184"/>
      <c r="C25" s="184"/>
      <c r="D25" s="184"/>
      <c r="E25" s="184"/>
      <c r="F25" s="184"/>
      <c r="G25" s="256"/>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row>
    <row r="26" spans="1:37" s="58" customFormat="1" ht="30" customHeight="1">
      <c r="A26" s="253" t="s">
        <v>169</v>
      </c>
      <c r="B26" s="176"/>
      <c r="C26" s="176"/>
      <c r="D26" s="176"/>
      <c r="E26" s="176"/>
      <c r="F26" s="176"/>
      <c r="G26" s="27"/>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row>
    <row r="27" spans="1:37" s="58" customFormat="1" ht="15" customHeight="1">
      <c r="A27" s="58" t="s">
        <v>5</v>
      </c>
      <c r="B27" s="27">
        <f aca="true" t="shared" si="0" ref="B27:E29">B9+B15-B21</f>
        <v>85924.23999999999</v>
      </c>
      <c r="C27" s="27">
        <f>C9+C15-C21+1</f>
        <v>78048.04999999999</v>
      </c>
      <c r="D27" s="291">
        <f>D9+D15-D21+1</f>
        <v>10973.589999999997</v>
      </c>
      <c r="E27" s="148">
        <f t="shared" si="0"/>
        <v>0</v>
      </c>
      <c r="F27" s="27">
        <f>SUM(B27:E27)</f>
        <v>174945.87999999998</v>
      </c>
      <c r="G27" s="27"/>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row>
    <row r="28" spans="1:37" s="58" customFormat="1" ht="15" customHeight="1">
      <c r="A28" s="58" t="s">
        <v>6</v>
      </c>
      <c r="B28" s="27">
        <f t="shared" si="0"/>
        <v>12992.550000000003</v>
      </c>
      <c r="C28" s="27">
        <f t="shared" si="0"/>
        <v>102374.16</v>
      </c>
      <c r="D28" s="291">
        <f t="shared" si="0"/>
        <v>-2581.5999999999985</v>
      </c>
      <c r="E28" s="148">
        <f t="shared" si="0"/>
        <v>0</v>
      </c>
      <c r="F28" s="27">
        <f>SUM(B28:E28)</f>
        <v>112785.11000000002</v>
      </c>
      <c r="G28" s="27"/>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row>
    <row r="29" spans="1:37" s="58" customFormat="1" ht="15" customHeight="1">
      <c r="A29" s="58" t="s">
        <v>7</v>
      </c>
      <c r="B29" s="27">
        <f t="shared" si="0"/>
        <v>0</v>
      </c>
      <c r="C29" s="27">
        <f t="shared" si="0"/>
        <v>0</v>
      </c>
      <c r="D29" s="27">
        <f t="shared" si="0"/>
        <v>0</v>
      </c>
      <c r="E29" s="148">
        <f t="shared" si="0"/>
        <v>0</v>
      </c>
      <c r="F29" s="148">
        <f>SUM(B29:E29)</f>
        <v>0</v>
      </c>
      <c r="G29" s="27"/>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row>
    <row r="30" spans="1:37" ht="15" customHeight="1" thickBot="1">
      <c r="A30" s="74" t="s">
        <v>146</v>
      </c>
      <c r="B30" s="251">
        <f>SUM(B27:B29)</f>
        <v>98916.79</v>
      </c>
      <c r="C30" s="251">
        <f>SUM(C27:C29)</f>
        <v>180422.21</v>
      </c>
      <c r="D30" s="251">
        <f>SUM(D27:D29)</f>
        <v>8391.989999999998</v>
      </c>
      <c r="E30" s="182">
        <f>SUM(E27:E29)</f>
        <v>0</v>
      </c>
      <c r="F30" s="251">
        <f>SUM(F27:F29)</f>
        <v>287730.99</v>
      </c>
      <c r="G30" s="27"/>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row>
    <row r="31" spans="2:38" ht="15" customHeight="1" thickTop="1">
      <c r="B31" s="171"/>
      <c r="C31" s="171"/>
      <c r="D31" s="171"/>
      <c r="E31" s="171"/>
      <c r="F31" s="27"/>
      <c r="H31" s="250"/>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row>
    <row r="32" spans="2:38" s="46" customFormat="1" ht="15" customHeight="1">
      <c r="B32" s="171"/>
      <c r="C32" s="171"/>
      <c r="D32" s="171"/>
      <c r="E32" s="171"/>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2:38" ht="15" customHeight="1">
      <c r="B33" s="171"/>
      <c r="C33" s="171"/>
      <c r="D33" s="171"/>
      <c r="E33" s="171"/>
      <c r="F33" s="27"/>
      <c r="G33" s="27"/>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row>
    <row r="34" spans="2:38" ht="15" customHeight="1">
      <c r="B34" s="171"/>
      <c r="C34" s="171"/>
      <c r="D34" s="171"/>
      <c r="E34" s="171"/>
      <c r="F34" s="27"/>
      <c r="G34" s="27"/>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row>
    <row r="35" spans="2:38" ht="15" customHeight="1">
      <c r="B35" s="171"/>
      <c r="C35" s="171"/>
      <c r="D35" s="171"/>
      <c r="E35" s="171"/>
      <c r="F35" s="27"/>
      <c r="G35" s="27"/>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row>
    <row r="36" spans="2:38" ht="15" customHeight="1">
      <c r="B36" s="171"/>
      <c r="C36" s="171"/>
      <c r="D36" s="171"/>
      <c r="E36" s="171"/>
      <c r="F36" s="27"/>
      <c r="G36" s="27"/>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row>
    <row r="37" spans="2:38" ht="15" customHeight="1">
      <c r="B37" s="171"/>
      <c r="C37" s="171"/>
      <c r="D37" s="171"/>
      <c r="E37" s="171"/>
      <c r="F37" s="27"/>
      <c r="G37" s="27"/>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row>
    <row r="38" spans="6:38" ht="15" customHeight="1">
      <c r="F38" s="27"/>
      <c r="G38" s="27"/>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row>
    <row r="39" spans="6:38" ht="15" customHeight="1">
      <c r="F39" s="27"/>
      <c r="G39" s="27"/>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row>
    <row r="40" spans="6:38" ht="15" customHeight="1">
      <c r="F40" s="27"/>
      <c r="G40" s="27"/>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row>
    <row r="41" spans="6:38" ht="15" customHeight="1">
      <c r="F41" s="27"/>
      <c r="G41" s="27"/>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row>
    <row r="42" spans="6:38" ht="15" customHeight="1">
      <c r="F42" s="27"/>
      <c r="G42" s="27"/>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row>
    <row r="43" spans="6:38" ht="15" customHeight="1">
      <c r="F43" s="27"/>
      <c r="G43" s="27"/>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row>
    <row r="44" spans="6:38" ht="15" customHeight="1">
      <c r="F44" s="27"/>
      <c r="G44" s="27"/>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row>
    <row r="45" spans="6:38" ht="15" customHeight="1">
      <c r="F45" s="27"/>
      <c r="G45" s="27"/>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row>
    <row r="46" spans="6:38" ht="15" customHeight="1">
      <c r="F46" s="27"/>
      <c r="G46" s="27"/>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row>
    <row r="47" spans="6:38" ht="15" customHeight="1">
      <c r="F47" s="27"/>
      <c r="G47" s="27"/>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row>
    <row r="48" spans="6:38" ht="15" customHeight="1">
      <c r="F48" s="27"/>
      <c r="G48" s="27"/>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row>
    <row r="49" spans="6:38" s="45" customFormat="1" ht="15" customHeight="1">
      <c r="F49" s="27"/>
      <c r="G49" s="27"/>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row>
    <row r="50" spans="6:38" s="45" customFormat="1" ht="15" customHeight="1">
      <c r="F50" s="27"/>
      <c r="G50" s="27"/>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row>
    <row r="51" spans="6:38" s="45" customFormat="1" ht="15" customHeight="1">
      <c r="F51" s="27"/>
      <c r="G51" s="27"/>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row>
    <row r="52" spans="6:38" s="45" customFormat="1" ht="15" customHeight="1">
      <c r="F52" s="27"/>
      <c r="G52" s="27"/>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row>
    <row r="53" spans="6:38" s="45" customFormat="1" ht="15" customHeight="1">
      <c r="F53" s="27"/>
      <c r="G53" s="27"/>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row>
    <row r="54" spans="6:38" s="45" customFormat="1" ht="15" customHeight="1">
      <c r="F54" s="27"/>
      <c r="G54" s="27"/>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row>
    <row r="55" spans="6:38" s="45" customFormat="1" ht="15" customHeight="1">
      <c r="F55" s="27"/>
      <c r="G55" s="27"/>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row>
    <row r="56" spans="6:38" s="45" customFormat="1" ht="15" customHeight="1">
      <c r="F56" s="27"/>
      <c r="G56" s="27"/>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row>
    <row r="57" spans="6:38" s="45" customFormat="1" ht="15" customHeight="1">
      <c r="F57" s="27"/>
      <c r="G57" s="27"/>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row>
    <row r="58" spans="6:38" s="45" customFormat="1" ht="15" customHeight="1">
      <c r="F58" s="27"/>
      <c r="G58" s="27"/>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row>
    <row r="59" spans="6:38" s="45" customFormat="1" ht="15" customHeight="1">
      <c r="F59" s="27"/>
      <c r="G59" s="27"/>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row>
    <row r="60" spans="6:38" s="45" customFormat="1" ht="15" customHeight="1">
      <c r="F60" s="27"/>
      <c r="G60" s="27"/>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row>
    <row r="61" spans="6:38" s="45" customFormat="1" ht="15" customHeight="1">
      <c r="F61" s="27"/>
      <c r="G61" s="27"/>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row>
    <row r="62" spans="6:38" s="45" customFormat="1" ht="15" customHeight="1">
      <c r="F62" s="27"/>
      <c r="G62" s="27"/>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row>
    <row r="63" spans="6:38" s="45" customFormat="1" ht="15" customHeight="1">
      <c r="F63" s="27"/>
      <c r="G63" s="27"/>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row>
    <row r="64" spans="6:38" s="45" customFormat="1" ht="15" customHeight="1">
      <c r="F64" s="27"/>
      <c r="G64" s="27"/>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row>
    <row r="65" spans="6:38" s="45" customFormat="1" ht="15" customHeight="1">
      <c r="F65" s="27"/>
      <c r="G65" s="27"/>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row>
    <row r="66" spans="6:38" s="45" customFormat="1" ht="15" customHeight="1">
      <c r="F66" s="27"/>
      <c r="G66" s="27"/>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row>
    <row r="67" spans="6:38" s="45" customFormat="1" ht="15" customHeight="1">
      <c r="F67" s="27"/>
      <c r="G67" s="27"/>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row>
    <row r="68" spans="6:38" s="45" customFormat="1" ht="15" customHeight="1">
      <c r="F68" s="27"/>
      <c r="G68" s="27"/>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row>
    <row r="69" spans="6:38" s="45" customFormat="1" ht="15" customHeight="1">
      <c r="F69" s="27"/>
      <c r="G69" s="27"/>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row>
    <row r="70" spans="6:38" s="45" customFormat="1" ht="15" customHeight="1">
      <c r="F70" s="27"/>
      <c r="G70" s="27"/>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row>
    <row r="71" spans="6:38" s="45" customFormat="1" ht="15" customHeight="1">
      <c r="F71" s="27"/>
      <c r="G71" s="27"/>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row>
    <row r="72" spans="6:38" s="45" customFormat="1" ht="15" customHeight="1">
      <c r="F72" s="27"/>
      <c r="G72" s="27"/>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row>
    <row r="73" spans="6:38" s="45" customFormat="1" ht="15" customHeight="1">
      <c r="F73" s="27"/>
      <c r="G73" s="27"/>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row>
    <row r="74" spans="6:38" s="45" customFormat="1" ht="15" customHeight="1">
      <c r="F74" s="27"/>
      <c r="G74" s="27"/>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row>
    <row r="75" spans="6:38" s="45" customFormat="1" ht="15" customHeight="1">
      <c r="F75" s="27"/>
      <c r="G75" s="27"/>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row>
    <row r="76" spans="6:38" s="45" customFormat="1" ht="15" customHeight="1">
      <c r="F76" s="27"/>
      <c r="G76" s="27"/>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row>
    <row r="77" spans="6:38" s="45" customFormat="1" ht="15" customHeight="1">
      <c r="F77" s="27"/>
      <c r="G77" s="27"/>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row>
    <row r="78" spans="6:38" s="45" customFormat="1" ht="15" customHeight="1">
      <c r="F78" s="27"/>
      <c r="G78" s="27"/>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row>
    <row r="79" spans="6:38" s="45" customFormat="1" ht="15" customHeight="1">
      <c r="F79" s="27"/>
      <c r="G79" s="27"/>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5" customWidth="1"/>
    <col min="2" max="2" width="19.00390625" style="170" customWidth="1"/>
    <col min="3" max="3" width="18.421875" style="170" customWidth="1"/>
    <col min="4" max="5" width="18.140625" style="170" customWidth="1"/>
    <col min="6" max="6" width="20.7109375" style="46" customWidth="1"/>
    <col min="7" max="7" width="15.7109375" style="46" customWidth="1"/>
    <col min="8" max="16384" width="15.7109375" style="45" customWidth="1"/>
  </cols>
  <sheetData>
    <row r="1" spans="1:7" s="272" customFormat="1" ht="30" customHeight="1">
      <c r="A1" s="276" t="s">
        <v>0</v>
      </c>
      <c r="B1" s="275"/>
      <c r="C1" s="275"/>
      <c r="D1" s="275"/>
      <c r="E1" s="275"/>
      <c r="F1" s="274"/>
      <c r="G1" s="273"/>
    </row>
    <row r="2" spans="1:6" ht="15" customHeight="1">
      <c r="A2" s="271"/>
      <c r="B2" s="270"/>
      <c r="C2" s="270"/>
      <c r="D2" s="270"/>
      <c r="E2" s="270"/>
      <c r="F2" s="265"/>
    </row>
    <row r="3" spans="1:7" s="164" customFormat="1" ht="15" customHeight="1">
      <c r="A3" s="269" t="s">
        <v>172</v>
      </c>
      <c r="B3" s="268"/>
      <c r="C3" s="268"/>
      <c r="D3" s="268"/>
      <c r="E3" s="268"/>
      <c r="F3" s="267"/>
      <c r="G3" s="165"/>
    </row>
    <row r="4" spans="1:7" s="164" customFormat="1" ht="15" customHeight="1">
      <c r="A4" s="269" t="s">
        <v>171</v>
      </c>
      <c r="B4" s="268"/>
      <c r="C4" s="268"/>
      <c r="D4" s="268"/>
      <c r="E4" s="268"/>
      <c r="F4" s="267"/>
      <c r="G4" s="165"/>
    </row>
    <row r="5" spans="1:7" s="164" customFormat="1" ht="15" customHeight="1">
      <c r="A5" s="72" t="s">
        <v>196</v>
      </c>
      <c r="B5" s="268"/>
      <c r="C5" s="268"/>
      <c r="D5" s="268"/>
      <c r="E5" s="268"/>
      <c r="F5" s="267"/>
      <c r="G5" s="165"/>
    </row>
    <row r="6" spans="1:6" ht="15" customHeight="1">
      <c r="A6" s="266"/>
      <c r="F6" s="265"/>
    </row>
    <row r="7" spans="1:6" ht="30" customHeight="1">
      <c r="A7" s="127"/>
      <c r="B7" s="194" t="s">
        <v>173</v>
      </c>
      <c r="C7" s="194" t="s">
        <v>1</v>
      </c>
      <c r="D7" s="194" t="s">
        <v>2</v>
      </c>
      <c r="E7" s="194" t="s">
        <v>3</v>
      </c>
      <c r="F7" s="264" t="s">
        <v>4</v>
      </c>
    </row>
    <row r="8" spans="1:6" ht="30" customHeight="1">
      <c r="A8" s="263" t="s">
        <v>170</v>
      </c>
      <c r="B8" s="262"/>
      <c r="C8" s="262"/>
      <c r="D8" s="262"/>
      <c r="E8" s="262"/>
      <c r="F8" s="261"/>
    </row>
    <row r="9" spans="1:37" ht="15" customHeight="1">
      <c r="A9" s="45" t="s">
        <v>5</v>
      </c>
      <c r="B9" s="290">
        <f>'[2]Loss Expenses Paid YTD-16'!K21</f>
        <v>18915.91</v>
      </c>
      <c r="C9" s="290">
        <f>'[2]Loss Expenses Paid YTD-16'!K15</f>
        <v>351051.16</v>
      </c>
      <c r="D9" s="290">
        <f>'[2]Loss Expenses Paid YTD-16'!K9</f>
        <v>45051.84</v>
      </c>
      <c r="E9" s="148">
        <v>0</v>
      </c>
      <c r="F9" s="290">
        <f>SUM(B9:E9)</f>
        <v>415018.9099999999</v>
      </c>
      <c r="G9" s="27"/>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row>
    <row r="10" spans="1:37" s="58" customFormat="1" ht="15" customHeight="1">
      <c r="A10" s="58" t="s">
        <v>6</v>
      </c>
      <c r="B10" s="27">
        <f>'[2]Loss Expenses Paid YTD-16'!K22</f>
        <v>28064.22</v>
      </c>
      <c r="C10" s="27">
        <f>'[2]Loss Expenses Paid YTD-16'!K16</f>
        <v>1337233.9600000002</v>
      </c>
      <c r="D10" s="27">
        <f>'[2]Loss Expenses Paid YTD-16'!K10</f>
        <v>239730.25</v>
      </c>
      <c r="E10" s="148">
        <v>0</v>
      </c>
      <c r="F10" s="27">
        <f>SUM(B10:E10)</f>
        <v>1605028.4300000002</v>
      </c>
      <c r="G10" s="27"/>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row>
    <row r="11" spans="1:37" s="58" customFormat="1" ht="15" customHeight="1">
      <c r="A11" s="58" t="s">
        <v>7</v>
      </c>
      <c r="B11" s="148">
        <f>'[2]Loss Expenses Paid YTD-16'!K23</f>
        <v>0</v>
      </c>
      <c r="C11" s="148">
        <f>'[2]Loss Expenses Paid YTD-16'!K17</f>
        <v>0</v>
      </c>
      <c r="D11" s="148">
        <f>'[2]Loss Expenses Paid YTD-16'!K11</f>
        <v>0</v>
      </c>
      <c r="E11" s="148">
        <v>0</v>
      </c>
      <c r="F11" s="148">
        <f>SUM(B11:E11)</f>
        <v>0</v>
      </c>
      <c r="G11" s="27"/>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row>
    <row r="12" spans="1:37" s="58" customFormat="1" ht="15" customHeight="1" thickBot="1">
      <c r="A12" s="258" t="s">
        <v>146</v>
      </c>
      <c r="B12" s="257">
        <f>SUM(B9:B11)</f>
        <v>46980.130000000005</v>
      </c>
      <c r="C12" s="257">
        <f>SUM(C9:C11)</f>
        <v>1688285.12</v>
      </c>
      <c r="D12" s="257">
        <f>SUM(D9:D11)</f>
        <v>284782.08999999997</v>
      </c>
      <c r="E12" s="260">
        <f>SUM(E9:E11)</f>
        <v>0</v>
      </c>
      <c r="F12" s="182">
        <f>SUM(F9:F11)</f>
        <v>2020047.34</v>
      </c>
      <c r="G12" s="148"/>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row>
    <row r="13" spans="2:37" s="58" customFormat="1" ht="15" customHeight="1" thickTop="1">
      <c r="B13" s="176"/>
      <c r="C13" s="176"/>
      <c r="D13" s="176"/>
      <c r="E13" s="176"/>
      <c r="F13" s="46"/>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row>
    <row r="14" spans="1:37" s="58" customFormat="1" ht="30" customHeight="1">
      <c r="A14" s="253" t="s">
        <v>198</v>
      </c>
      <c r="B14" s="176"/>
      <c r="C14" s="176"/>
      <c r="D14" s="176"/>
      <c r="E14" s="176"/>
      <c r="F14" s="148"/>
      <c r="G14" s="27"/>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row>
    <row r="15" spans="1:37" s="58" customFormat="1" ht="15" customHeight="1">
      <c r="A15" s="45" t="s">
        <v>5</v>
      </c>
      <c r="B15" s="27">
        <f>'[2]Unpaid Loss Expense Reserves-14'!B22</f>
        <v>113218.38</v>
      </c>
      <c r="C15" s="27">
        <f>'[2]Unpaid Loss Expense Reserves-14'!C22</f>
        <v>128197.51</v>
      </c>
      <c r="D15" s="27">
        <f>'[2]Unpaid Loss Expense Reserves-14'!D22</f>
        <v>43853.5</v>
      </c>
      <c r="E15" s="148">
        <v>0</v>
      </c>
      <c r="F15" s="27">
        <f>SUM(B15:E15)+1</f>
        <v>285270.39</v>
      </c>
      <c r="G15" s="27"/>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row>
    <row r="16" spans="1:37" s="58" customFormat="1" ht="15" customHeight="1">
      <c r="A16" s="58" t="s">
        <v>6</v>
      </c>
      <c r="B16" s="27">
        <f>'[2]Unpaid Loss Expense Reserves-14'!B23</f>
        <v>30161.46</v>
      </c>
      <c r="C16" s="27">
        <f>'[2]Unpaid Loss Expense Reserves-14'!C23</f>
        <v>24754.55</v>
      </c>
      <c r="D16" s="27">
        <f>'[2]Unpaid Loss Expense Reserves-14'!D23</f>
        <v>13365.439999999999</v>
      </c>
      <c r="E16" s="148">
        <v>0</v>
      </c>
      <c r="F16" s="27">
        <f>SUM(B16:E16)</f>
        <v>68281.45</v>
      </c>
      <c r="G16" s="27"/>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row>
    <row r="17" spans="1:37" s="58" customFormat="1" ht="15" customHeight="1">
      <c r="A17" s="58" t="s">
        <v>7</v>
      </c>
      <c r="B17" s="148">
        <f>'[2]Unpaid Loss Expense Reserves-14'!B24</f>
        <v>0</v>
      </c>
      <c r="C17" s="148">
        <f>'[2]Unpaid Loss Expense Reserves-14'!C24</f>
        <v>0</v>
      </c>
      <c r="D17" s="148">
        <f>'[2]Unpaid Loss Expense Reserves-14'!D24</f>
        <v>0</v>
      </c>
      <c r="E17" s="148">
        <v>0</v>
      </c>
      <c r="F17" s="148">
        <f>SUM(B17:E17)</f>
        <v>0</v>
      </c>
      <c r="G17" s="27"/>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row>
    <row r="18" spans="1:37" s="58" customFormat="1" ht="15" customHeight="1" thickBot="1">
      <c r="A18" s="258" t="s">
        <v>146</v>
      </c>
      <c r="B18" s="257">
        <f>SUM(B15:B17)-1</f>
        <v>143378.84</v>
      </c>
      <c r="C18" s="257">
        <f>SUM(C15:C17)+1</f>
        <v>152953.06</v>
      </c>
      <c r="D18" s="257">
        <f>SUM(D15:D17)</f>
        <v>57218.94</v>
      </c>
      <c r="E18" s="260">
        <f>SUM(E15:E17)</f>
        <v>0</v>
      </c>
      <c r="F18" s="182">
        <f>SUM(F15:F17)-1</f>
        <v>353550.84</v>
      </c>
      <c r="G18" s="148"/>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row>
    <row r="19" spans="2:37" s="58" customFormat="1" ht="15" customHeight="1" thickTop="1">
      <c r="B19" s="176"/>
      <c r="C19" s="176"/>
      <c r="D19" s="176"/>
      <c r="E19" s="176"/>
      <c r="F19" s="46"/>
      <c r="G19" s="259"/>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row>
    <row r="20" spans="1:37" s="58" customFormat="1" ht="30" customHeight="1">
      <c r="A20" s="253" t="s">
        <v>174</v>
      </c>
      <c r="B20" s="184"/>
      <c r="C20" s="184"/>
      <c r="D20" s="184"/>
      <c r="E20" s="184"/>
      <c r="F20" s="148"/>
      <c r="G20" s="27"/>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row>
    <row r="21" spans="1:37" s="58" customFormat="1" ht="15" customHeight="1">
      <c r="A21" s="45" t="s">
        <v>5</v>
      </c>
      <c r="B21" s="148">
        <v>0</v>
      </c>
      <c r="C21" s="27">
        <v>41018.259999999995</v>
      </c>
      <c r="D21" s="27">
        <v>34244.11</v>
      </c>
      <c r="E21" s="27">
        <v>31637.39</v>
      </c>
      <c r="F21" s="27">
        <f>SUM(B21:E21)-1</f>
        <v>106898.76</v>
      </c>
      <c r="G21" s="27"/>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row>
    <row r="22" spans="1:37" s="58" customFormat="1" ht="15" customHeight="1">
      <c r="A22" s="58" t="s">
        <v>8</v>
      </c>
      <c r="B22" s="148">
        <v>0</v>
      </c>
      <c r="C22" s="27">
        <v>164053.54</v>
      </c>
      <c r="D22" s="27">
        <v>108649.31</v>
      </c>
      <c r="E22" s="148">
        <v>0</v>
      </c>
      <c r="F22" s="27">
        <f>SUM(B22:E22)</f>
        <v>272702.85</v>
      </c>
      <c r="G22" s="27"/>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row>
    <row r="23" spans="1:37" s="58" customFormat="1" ht="15" customHeight="1">
      <c r="A23" s="58" t="s">
        <v>7</v>
      </c>
      <c r="B23" s="148">
        <v>0</v>
      </c>
      <c r="C23" s="148">
        <v>0</v>
      </c>
      <c r="D23" s="148">
        <v>0</v>
      </c>
      <c r="E23" s="148">
        <v>0</v>
      </c>
      <c r="F23" s="148">
        <f>SUM(B23:E23)</f>
        <v>0</v>
      </c>
      <c r="G23" s="27"/>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row>
    <row r="24" spans="1:37" s="58" customFormat="1" ht="15" customHeight="1" thickBot="1">
      <c r="A24" s="258" t="s">
        <v>146</v>
      </c>
      <c r="B24" s="260">
        <f>SUM(B21:B23)</f>
        <v>0</v>
      </c>
      <c r="C24" s="257">
        <f>SUM(C21:C23)</f>
        <v>205071.8</v>
      </c>
      <c r="D24" s="257">
        <f>SUM(D21:D23)</f>
        <v>142893.41999999998</v>
      </c>
      <c r="E24" s="257">
        <f>SUM(E21:E23)</f>
        <v>31637.39</v>
      </c>
      <c r="F24" s="182">
        <f>SUM(F21:F23)</f>
        <v>379601.61</v>
      </c>
      <c r="G24" s="148"/>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row>
    <row r="25" spans="2:37" s="254" customFormat="1" ht="15" customHeight="1" thickTop="1">
      <c r="B25" s="184"/>
      <c r="C25" s="184"/>
      <c r="D25" s="184"/>
      <c r="E25" s="184"/>
      <c r="F25" s="184"/>
      <c r="G25" s="256"/>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row>
    <row r="26" spans="1:37" s="58" customFormat="1" ht="30" customHeight="1">
      <c r="A26" s="253" t="s">
        <v>169</v>
      </c>
      <c r="B26" s="176"/>
      <c r="C26" s="176"/>
      <c r="D26" s="176"/>
      <c r="E26" s="176"/>
      <c r="F26" s="176"/>
      <c r="G26" s="27"/>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row>
    <row r="27" spans="1:37" s="58" customFormat="1" ht="15" customHeight="1">
      <c r="A27" s="58" t="s">
        <v>5</v>
      </c>
      <c r="B27" s="27">
        <f aca="true" t="shared" si="0" ref="B27:D29">B9+B15-B21</f>
        <v>132134.29</v>
      </c>
      <c r="C27" s="27">
        <f>C9+C15-C21+1</f>
        <v>438231.41</v>
      </c>
      <c r="D27" s="27">
        <f>D9+D15-D21+1</f>
        <v>54662.229999999996</v>
      </c>
      <c r="E27" s="291">
        <f>E9+E15-E21</f>
        <v>-31637.39</v>
      </c>
      <c r="F27" s="27">
        <f>SUM(B27:E27)-1</f>
        <v>593389.5399999999</v>
      </c>
      <c r="G27" s="27"/>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row>
    <row r="28" spans="1:37" s="58" customFormat="1" ht="15" customHeight="1">
      <c r="A28" s="58" t="s">
        <v>6</v>
      </c>
      <c r="B28" s="27">
        <f>B10+B16-B22-1</f>
        <v>58224.68</v>
      </c>
      <c r="C28" s="27">
        <f t="shared" si="0"/>
        <v>1197934.9700000002</v>
      </c>
      <c r="D28" s="27">
        <f t="shared" si="0"/>
        <v>144446.38</v>
      </c>
      <c r="E28" s="148">
        <f>E10+E16-E22</f>
        <v>0</v>
      </c>
      <c r="F28" s="27">
        <f>SUM(B28:E28)</f>
        <v>1400606.0300000003</v>
      </c>
      <c r="G28" s="27"/>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row>
    <row r="29" spans="1:37" s="58" customFormat="1" ht="15" customHeight="1">
      <c r="A29" s="58" t="s">
        <v>7</v>
      </c>
      <c r="B29" s="148">
        <f t="shared" si="0"/>
        <v>0</v>
      </c>
      <c r="C29" s="148">
        <f t="shared" si="0"/>
        <v>0</v>
      </c>
      <c r="D29" s="148">
        <f t="shared" si="0"/>
        <v>0</v>
      </c>
      <c r="E29" s="148">
        <f>E11+E17-E23</f>
        <v>0</v>
      </c>
      <c r="F29" s="148">
        <f>SUM(B29:E29)</f>
        <v>0</v>
      </c>
      <c r="G29" s="27"/>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row>
    <row r="30" spans="1:37" ht="15" customHeight="1" thickBot="1">
      <c r="A30" s="74" t="s">
        <v>146</v>
      </c>
      <c r="B30" s="251">
        <f>SUM(B27:B29)</f>
        <v>190358.97</v>
      </c>
      <c r="C30" s="251">
        <f>SUM(C27:C29)</f>
        <v>1636166.3800000001</v>
      </c>
      <c r="D30" s="251">
        <f>SUM(D27:D29)-1</f>
        <v>199107.61</v>
      </c>
      <c r="E30" s="251">
        <f>SUM(E27:E29)</f>
        <v>-31637.39</v>
      </c>
      <c r="F30" s="251">
        <f>SUM(F27:F29)</f>
        <v>1993995.5700000003</v>
      </c>
      <c r="G30" s="27"/>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row>
    <row r="31" spans="2:38" ht="15" customHeight="1" thickTop="1">
      <c r="B31" s="171"/>
      <c r="C31" s="171"/>
      <c r="D31" s="171"/>
      <c r="E31" s="171"/>
      <c r="F31" s="27"/>
      <c r="H31" s="250"/>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row>
    <row r="32" spans="2:38" s="46" customFormat="1" ht="15" customHeight="1">
      <c r="B32" s="171"/>
      <c r="C32" s="171"/>
      <c r="D32" s="171"/>
      <c r="E32" s="171"/>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2:38" ht="15" customHeight="1">
      <c r="B33" s="171"/>
      <c r="C33" s="171"/>
      <c r="D33" s="171"/>
      <c r="E33" s="171"/>
      <c r="F33" s="27"/>
      <c r="G33" s="27"/>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row>
    <row r="34" spans="2:38" ht="15" customHeight="1">
      <c r="B34" s="171"/>
      <c r="C34" s="171"/>
      <c r="D34" s="171"/>
      <c r="E34" s="171"/>
      <c r="F34" s="27"/>
      <c r="G34" s="27"/>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row>
    <row r="35" spans="2:38" ht="15" customHeight="1">
      <c r="B35" s="171"/>
      <c r="C35" s="171"/>
      <c r="D35" s="171"/>
      <c r="E35" s="171"/>
      <c r="F35" s="27"/>
      <c r="G35" s="27"/>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row>
    <row r="36" spans="2:38" ht="15" customHeight="1">
      <c r="B36" s="171"/>
      <c r="C36" s="171"/>
      <c r="D36" s="171"/>
      <c r="E36" s="171"/>
      <c r="F36" s="27"/>
      <c r="G36" s="27"/>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row>
    <row r="37" spans="2:38" ht="15" customHeight="1">
      <c r="B37" s="171"/>
      <c r="C37" s="171"/>
      <c r="D37" s="171"/>
      <c r="E37" s="171"/>
      <c r="F37" s="27"/>
      <c r="G37" s="27"/>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row>
    <row r="38" spans="6:38" ht="15" customHeight="1">
      <c r="F38" s="27"/>
      <c r="G38" s="27"/>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row>
    <row r="39" spans="6:38" ht="15" customHeight="1">
      <c r="F39" s="27"/>
      <c r="G39" s="27"/>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row>
    <row r="40" spans="6:38" ht="15" customHeight="1">
      <c r="F40" s="27"/>
      <c r="G40" s="27"/>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row>
    <row r="41" spans="6:38" ht="15" customHeight="1">
      <c r="F41" s="27"/>
      <c r="G41" s="27"/>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row>
    <row r="42" spans="6:38" ht="15" customHeight="1">
      <c r="F42" s="27"/>
      <c r="G42" s="27"/>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row>
    <row r="43" spans="6:38" ht="15" customHeight="1">
      <c r="F43" s="27"/>
      <c r="G43" s="27"/>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row>
    <row r="44" spans="6:38" ht="15" customHeight="1">
      <c r="F44" s="27"/>
      <c r="G44" s="27"/>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row>
    <row r="45" spans="6:38" ht="15" customHeight="1">
      <c r="F45" s="27"/>
      <c r="G45" s="27"/>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row>
    <row r="46" spans="6:38" ht="15" customHeight="1">
      <c r="F46" s="27"/>
      <c r="G46" s="27"/>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row>
    <row r="47" spans="6:38" ht="15" customHeight="1">
      <c r="F47" s="27"/>
      <c r="G47" s="27"/>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row>
    <row r="48" spans="6:38" ht="15" customHeight="1">
      <c r="F48" s="27"/>
      <c r="G48" s="27"/>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row>
    <row r="49" spans="6:38" s="45" customFormat="1" ht="15" customHeight="1">
      <c r="F49" s="27"/>
      <c r="G49" s="27"/>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row>
    <row r="50" spans="6:38" s="45" customFormat="1" ht="15" customHeight="1">
      <c r="F50" s="27"/>
      <c r="G50" s="27"/>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row>
    <row r="51" spans="6:38" s="45" customFormat="1" ht="15" customHeight="1">
      <c r="F51" s="27"/>
      <c r="G51" s="27"/>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row>
    <row r="52" spans="6:38" s="45" customFormat="1" ht="15" customHeight="1">
      <c r="F52" s="27"/>
      <c r="G52" s="27"/>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row>
    <row r="53" spans="6:38" s="45" customFormat="1" ht="15" customHeight="1">
      <c r="F53" s="27"/>
      <c r="G53" s="27"/>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row>
    <row r="54" spans="6:38" s="45" customFormat="1" ht="15" customHeight="1">
      <c r="F54" s="27"/>
      <c r="G54" s="27"/>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row>
    <row r="55" spans="6:38" s="45" customFormat="1" ht="15" customHeight="1">
      <c r="F55" s="27"/>
      <c r="G55" s="27"/>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row>
    <row r="56" spans="6:38" s="45" customFormat="1" ht="15" customHeight="1">
      <c r="F56" s="27"/>
      <c r="G56" s="27"/>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row>
    <row r="57" spans="6:38" s="45" customFormat="1" ht="15" customHeight="1">
      <c r="F57" s="27"/>
      <c r="G57" s="27"/>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row>
    <row r="58" spans="6:38" s="45" customFormat="1" ht="15" customHeight="1">
      <c r="F58" s="27"/>
      <c r="G58" s="27"/>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row>
    <row r="59" spans="6:38" s="45" customFormat="1" ht="15" customHeight="1">
      <c r="F59" s="27"/>
      <c r="G59" s="27"/>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row>
    <row r="60" spans="6:38" s="45" customFormat="1" ht="15" customHeight="1">
      <c r="F60" s="27"/>
      <c r="G60" s="27"/>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row>
    <row r="61" spans="6:38" s="45" customFormat="1" ht="15" customHeight="1">
      <c r="F61" s="27"/>
      <c r="G61" s="27"/>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row>
    <row r="62" spans="6:38" s="45" customFormat="1" ht="15" customHeight="1">
      <c r="F62" s="27"/>
      <c r="G62" s="27"/>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row>
    <row r="63" spans="6:38" s="45" customFormat="1" ht="15" customHeight="1">
      <c r="F63" s="27"/>
      <c r="G63" s="27"/>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row>
    <row r="64" spans="6:38" s="45" customFormat="1" ht="15" customHeight="1">
      <c r="F64" s="27"/>
      <c r="G64" s="27"/>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row>
    <row r="65" spans="6:38" s="45" customFormat="1" ht="15" customHeight="1">
      <c r="F65" s="27"/>
      <c r="G65" s="27"/>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row>
    <row r="66" spans="6:38" s="45" customFormat="1" ht="15" customHeight="1">
      <c r="F66" s="27"/>
      <c r="G66" s="27"/>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row>
    <row r="67" spans="6:38" s="45" customFormat="1" ht="15" customHeight="1">
      <c r="F67" s="27"/>
      <c r="G67" s="27"/>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row>
    <row r="68" spans="6:38" s="45" customFormat="1" ht="15" customHeight="1">
      <c r="F68" s="27"/>
      <c r="G68" s="27"/>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row>
    <row r="69" spans="6:38" s="45" customFormat="1" ht="15" customHeight="1">
      <c r="F69" s="27"/>
      <c r="G69" s="27"/>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row>
    <row r="70" spans="6:38" s="45" customFormat="1" ht="15" customHeight="1">
      <c r="F70" s="27"/>
      <c r="G70" s="27"/>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row>
    <row r="71" spans="6:38" s="45" customFormat="1" ht="15" customHeight="1">
      <c r="F71" s="27"/>
      <c r="G71" s="27"/>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row>
    <row r="72" spans="6:38" s="45" customFormat="1" ht="15" customHeight="1">
      <c r="F72" s="27"/>
      <c r="G72" s="27"/>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row>
    <row r="73" spans="6:38" s="45" customFormat="1" ht="15" customHeight="1">
      <c r="F73" s="27"/>
      <c r="G73" s="27"/>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row>
    <row r="74" spans="6:38" s="45" customFormat="1" ht="15" customHeight="1">
      <c r="F74" s="27"/>
      <c r="G74" s="27"/>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row>
    <row r="75" spans="6:38" s="45" customFormat="1" ht="15" customHeight="1">
      <c r="F75" s="27"/>
      <c r="G75" s="27"/>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row>
    <row r="76" spans="6:38" s="45" customFormat="1" ht="15" customHeight="1">
      <c r="F76" s="27"/>
      <c r="G76" s="27"/>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row>
    <row r="77" spans="6:38" s="45" customFormat="1" ht="15" customHeight="1">
      <c r="F77" s="27"/>
      <c r="G77" s="27"/>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row>
    <row r="78" spans="6:38" s="45" customFormat="1" ht="15" customHeight="1">
      <c r="F78" s="27"/>
      <c r="G78" s="27"/>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row>
    <row r="79" spans="6:38" s="45" customFormat="1" ht="15" customHeight="1">
      <c r="F79" s="27"/>
      <c r="G79" s="27"/>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E1"/>
    </sheetView>
  </sheetViews>
  <sheetFormatPr defaultColWidth="15.7109375" defaultRowHeight="15" customHeight="1"/>
  <cols>
    <col min="1" max="1" width="64.140625" style="45" bestFit="1" customWidth="1"/>
    <col min="2" max="2" width="15.7109375" style="46" customWidth="1"/>
    <col min="3" max="3" width="19.140625" style="46" customWidth="1"/>
    <col min="4" max="4" width="15.7109375" style="45" customWidth="1"/>
    <col min="5" max="5" width="19.140625" style="45" customWidth="1"/>
    <col min="6" max="16384" width="15.7109375" style="45" customWidth="1"/>
  </cols>
  <sheetData>
    <row r="1" spans="1:5" s="74" customFormat="1" ht="30" customHeight="1">
      <c r="A1" s="317" t="s">
        <v>0</v>
      </c>
      <c r="B1" s="317"/>
      <c r="C1" s="317"/>
      <c r="D1" s="317"/>
      <c r="E1" s="317"/>
    </row>
    <row r="2" spans="1:3" s="73" customFormat="1" ht="15" customHeight="1">
      <c r="A2" s="316"/>
      <c r="B2" s="316"/>
      <c r="C2" s="316"/>
    </row>
    <row r="3" spans="1:5" s="70" customFormat="1" ht="15" customHeight="1">
      <c r="A3" s="320" t="s">
        <v>66</v>
      </c>
      <c r="B3" s="320"/>
      <c r="C3" s="320"/>
      <c r="D3" s="320"/>
      <c r="E3" s="320"/>
    </row>
    <row r="4" spans="1:5" s="70" customFormat="1" ht="15" customHeight="1">
      <c r="A4" s="321" t="s">
        <v>191</v>
      </c>
      <c r="B4" s="320"/>
      <c r="C4" s="320"/>
      <c r="D4" s="320"/>
      <c r="E4" s="320"/>
    </row>
    <row r="5" spans="1:3" s="70" customFormat="1" ht="15" customHeight="1">
      <c r="A5" s="72"/>
      <c r="B5" s="71"/>
      <c r="C5" s="71"/>
    </row>
    <row r="6" spans="1:5" ht="15" customHeight="1">
      <c r="A6" s="52"/>
      <c r="B6" s="69" t="s">
        <v>65</v>
      </c>
      <c r="C6" s="68"/>
      <c r="D6" s="69" t="s">
        <v>64</v>
      </c>
      <c r="E6" s="68"/>
    </row>
    <row r="7" spans="1:5" ht="15" customHeight="1">
      <c r="A7" s="52"/>
      <c r="B7" s="66"/>
      <c r="C7" s="67"/>
      <c r="D7" s="66"/>
      <c r="E7" s="67"/>
    </row>
    <row r="8" spans="1:5" ht="15" customHeight="1">
      <c r="A8" s="59" t="s">
        <v>63</v>
      </c>
      <c r="B8" s="66"/>
      <c r="C8" s="65"/>
      <c r="D8" s="66"/>
      <c r="E8" s="65"/>
    </row>
    <row r="9" spans="1:5" ht="15" customHeight="1">
      <c r="A9" s="59"/>
      <c r="B9" s="66"/>
      <c r="C9" s="65"/>
      <c r="D9" s="66"/>
      <c r="E9" s="65"/>
    </row>
    <row r="10" spans="1:5" ht="15" customHeight="1">
      <c r="A10" s="52" t="s">
        <v>62</v>
      </c>
      <c r="B10" s="49"/>
      <c r="C10" s="64">
        <f>'Earned Incurred QTD-5'!D16</f>
        <v>2751202.879999999</v>
      </c>
      <c r="D10" s="49"/>
      <c r="E10" s="64">
        <f>'Earned Incurred YTD-6'!D16</f>
        <v>8205949.71</v>
      </c>
    </row>
    <row r="11" spans="1:5" ht="15" customHeight="1">
      <c r="A11" s="59"/>
      <c r="B11" s="49"/>
      <c r="C11" s="62"/>
      <c r="D11" s="49"/>
      <c r="E11" s="62"/>
    </row>
    <row r="12" spans="1:5" ht="15" customHeight="1">
      <c r="A12" s="59" t="s">
        <v>61</v>
      </c>
      <c r="B12" s="49"/>
      <c r="C12" s="62"/>
      <c r="D12" s="49"/>
      <c r="E12" s="62"/>
    </row>
    <row r="13" spans="1:5" ht="15" customHeight="1">
      <c r="A13" s="52" t="s">
        <v>60</v>
      </c>
      <c r="B13" s="46">
        <f>'Earned Incurred QTD-5'!D23</f>
        <v>1043417.24</v>
      </c>
      <c r="C13" s="62"/>
      <c r="D13" s="46">
        <f>'Earned Incurred YTD-6'!D23</f>
        <v>5288680.71</v>
      </c>
      <c r="E13" s="62"/>
    </row>
    <row r="14" spans="1:5" ht="15" customHeight="1">
      <c r="A14" s="52" t="s">
        <v>59</v>
      </c>
      <c r="B14" s="46">
        <f>'Earned Incurred QTD-5'!D30</f>
        <v>287730.99</v>
      </c>
      <c r="C14" s="62"/>
      <c r="D14" s="46">
        <f>'Earned Incurred YTD-6'!D30</f>
        <v>1993995.5699999998</v>
      </c>
      <c r="E14" s="62"/>
    </row>
    <row r="15" spans="1:5" ht="15" customHeight="1">
      <c r="A15" s="52" t="s">
        <v>58</v>
      </c>
      <c r="B15" s="46">
        <f>'Earned Incurred QTD-5'!C37</f>
        <v>241040.3</v>
      </c>
      <c r="C15" s="62"/>
      <c r="D15" s="46">
        <f>'Earned Incurred YTD-6'!C37</f>
        <v>706215.5</v>
      </c>
      <c r="E15" s="62"/>
    </row>
    <row r="16" spans="1:6" ht="15" customHeight="1">
      <c r="A16" s="52" t="s">
        <v>57</v>
      </c>
      <c r="B16" s="46">
        <f>'Earned Incurred QTD-5'!C38+'Earned Incurred QTD-5'!C39+'Earned Incurred QTD-5'!C43-1</f>
        <v>772061.6700000002</v>
      </c>
      <c r="C16" s="62"/>
      <c r="D16" s="46">
        <f>'Earned Incurred YTD-6'!C38+'Earned Incurred YTD-6'!C39+'Earned Incurred YTD-6'!C43</f>
        <v>2869745.7200000007</v>
      </c>
      <c r="E16" s="62"/>
      <c r="F16" s="53"/>
    </row>
    <row r="17" spans="1:5" ht="15" customHeight="1">
      <c r="A17" s="52" t="s">
        <v>56</v>
      </c>
      <c r="B17" s="63">
        <f>'Earned Incurred QTD-5'!D36</f>
        <v>12641.57</v>
      </c>
      <c r="C17" s="62"/>
      <c r="D17" s="63">
        <f>'Earned Incurred YTD-6'!D36</f>
        <v>39056.270000000004</v>
      </c>
      <c r="E17" s="62"/>
    </row>
    <row r="18" spans="1:5" ht="15" customHeight="1">
      <c r="A18" s="52" t="s">
        <v>55</v>
      </c>
      <c r="B18" s="49"/>
      <c r="C18" s="61">
        <f>SUM(B13:B17)</f>
        <v>2356891.77</v>
      </c>
      <c r="D18" s="49"/>
      <c r="E18" s="61">
        <f>SUM(D13:D17)+1</f>
        <v>10897694.77</v>
      </c>
    </row>
    <row r="19" spans="1:5" ht="15" customHeight="1">
      <c r="A19" s="52"/>
      <c r="B19" s="49"/>
      <c r="C19" s="55"/>
      <c r="D19" s="49"/>
      <c r="E19" s="55"/>
    </row>
    <row r="20" spans="1:5" ht="15" customHeight="1">
      <c r="A20" s="52" t="s">
        <v>207</v>
      </c>
      <c r="B20" s="49"/>
      <c r="C20" s="277">
        <f>C10-C18</f>
        <v>394311.10999999894</v>
      </c>
      <c r="D20" s="49"/>
      <c r="E20" s="54">
        <f>E10-E18</f>
        <v>-2691745.0599999996</v>
      </c>
    </row>
    <row r="21" spans="1:5" ht="15" customHeight="1">
      <c r="A21" s="59"/>
      <c r="B21" s="49"/>
      <c r="C21" s="55"/>
      <c r="D21" s="49"/>
      <c r="E21" s="55"/>
    </row>
    <row r="22" spans="1:5" ht="15" customHeight="1">
      <c r="A22" s="59" t="s">
        <v>54</v>
      </c>
      <c r="B22" s="49"/>
      <c r="C22" s="55"/>
      <c r="D22" s="49"/>
      <c r="E22" s="55"/>
    </row>
    <row r="23" spans="1:5" ht="15" customHeight="1">
      <c r="A23" s="52" t="s">
        <v>53</v>
      </c>
      <c r="B23" s="46">
        <f>'Earned Incurred QTD-5'!D52</f>
        <v>13182.11</v>
      </c>
      <c r="C23" s="55"/>
      <c r="D23" s="57">
        <f>'Earned Incurred YTD-6'!D52</f>
        <v>37582.64</v>
      </c>
      <c r="E23" s="55"/>
    </row>
    <row r="24" spans="1:5" ht="15" customHeight="1">
      <c r="A24" s="52" t="s">
        <v>208</v>
      </c>
      <c r="B24" s="56">
        <f>'Earned Incurred QTD-5'!D53</f>
        <v>-3258.53</v>
      </c>
      <c r="C24" s="55"/>
      <c r="D24" s="56">
        <f>'Earned Incurred YTD-6'!D53</f>
        <v>-7179.18</v>
      </c>
      <c r="E24" s="55"/>
    </row>
    <row r="25" spans="1:5" ht="15" customHeight="1">
      <c r="A25" s="52" t="s">
        <v>52</v>
      </c>
      <c r="B25" s="49"/>
      <c r="C25" s="61">
        <f>SUM(B23:B24)-1</f>
        <v>9922.58</v>
      </c>
      <c r="D25" s="49"/>
      <c r="E25" s="61">
        <f>SUM(D23:D24)+1</f>
        <v>30404.46</v>
      </c>
    </row>
    <row r="26" spans="1:5" ht="15" customHeight="1">
      <c r="A26" s="52"/>
      <c r="B26" s="49"/>
      <c r="C26" s="55"/>
      <c r="D26" s="49"/>
      <c r="E26" s="55"/>
    </row>
    <row r="27" spans="1:5" ht="15" customHeight="1">
      <c r="A27" s="59" t="s">
        <v>51</v>
      </c>
      <c r="B27" s="49"/>
      <c r="C27" s="55"/>
      <c r="D27" s="49"/>
      <c r="E27" s="55"/>
    </row>
    <row r="28" spans="1:5" ht="15" customHeight="1">
      <c r="A28" s="52" t="s">
        <v>50</v>
      </c>
      <c r="B28" s="46">
        <f>-'[1]3Q13 Trial Balance (FS)'!C262</f>
        <v>1423.14</v>
      </c>
      <c r="C28" s="55"/>
      <c r="D28" s="46">
        <f>-'[1]3Q13 Trial Balance (FS)'!E262</f>
        <v>11961.37</v>
      </c>
      <c r="E28" s="55"/>
    </row>
    <row r="29" spans="1:5" ht="15" customHeight="1">
      <c r="A29" s="52" t="s">
        <v>49</v>
      </c>
      <c r="B29" s="56">
        <f>-'[1]3Q13 Trial Balance (FS)'!C263</f>
        <v>5020.08</v>
      </c>
      <c r="C29" s="55"/>
      <c r="D29" s="56">
        <f>-'[1]3Q13 Trial Balance (FS)'!E263</f>
        <v>15565.98</v>
      </c>
      <c r="E29" s="55"/>
    </row>
    <row r="30" spans="1:6" ht="15" customHeight="1">
      <c r="A30" s="52" t="s">
        <v>48</v>
      </c>
      <c r="B30" s="49"/>
      <c r="C30" s="61">
        <f>SUM(B28:B29)</f>
        <v>6443.22</v>
      </c>
      <c r="D30" s="49"/>
      <c r="E30" s="61">
        <f>SUM(D28:D29)</f>
        <v>27527.35</v>
      </c>
      <c r="F30" s="58"/>
    </row>
    <row r="31" spans="1:5" ht="15" customHeight="1">
      <c r="A31" s="52"/>
      <c r="B31" s="49"/>
      <c r="C31" s="55"/>
      <c r="D31" s="49"/>
      <c r="E31" s="55"/>
    </row>
    <row r="32" spans="1:5" ht="15" customHeight="1" thickBot="1">
      <c r="A32" s="52" t="s">
        <v>47</v>
      </c>
      <c r="B32" s="49"/>
      <c r="C32" s="278">
        <f>C20+C25+C30</f>
        <v>410676.9099999989</v>
      </c>
      <c r="D32" s="49"/>
      <c r="E32" s="297">
        <f>E20+E25+E30-1</f>
        <v>-2633814.2499999995</v>
      </c>
    </row>
    <row r="33" spans="1:5" ht="15" customHeight="1">
      <c r="A33" s="59"/>
      <c r="B33" s="49"/>
      <c r="C33" s="60"/>
      <c r="D33" s="49"/>
      <c r="E33" s="60"/>
    </row>
    <row r="34" spans="1:5" ht="15" customHeight="1">
      <c r="A34" s="59" t="s">
        <v>10</v>
      </c>
      <c r="B34" s="49"/>
      <c r="C34" s="55"/>
      <c r="D34" s="49"/>
      <c r="E34" s="55"/>
    </row>
    <row r="35" spans="1:6" ht="15" customHeight="1">
      <c r="A35" s="52" t="s">
        <v>46</v>
      </c>
      <c r="B35" s="49"/>
      <c r="C35" s="54">
        <v>-9207551.66</v>
      </c>
      <c r="D35" s="49"/>
      <c r="E35" s="54">
        <v>-14511072.91</v>
      </c>
      <c r="F35" s="58"/>
    </row>
    <row r="36" spans="1:5" ht="15" customHeight="1">
      <c r="A36" s="52" t="s">
        <v>177</v>
      </c>
      <c r="B36" s="279">
        <f>C32</f>
        <v>410676.9099999989</v>
      </c>
      <c r="C36" s="55"/>
      <c r="D36" s="57">
        <f>E32</f>
        <v>-2633814.2499999995</v>
      </c>
      <c r="E36" s="55"/>
    </row>
    <row r="37" spans="1:5" ht="15" customHeight="1">
      <c r="A37" s="288" t="s">
        <v>181</v>
      </c>
      <c r="B37" s="279">
        <f>-'[1]3Q13 Trial Balance (FS)'!$C$196</f>
        <v>3122230</v>
      </c>
      <c r="C37" s="55"/>
      <c r="D37" s="279">
        <f>9469467+B37</f>
        <v>12591697</v>
      </c>
      <c r="E37" s="55"/>
    </row>
    <row r="38" spans="1:5" ht="15" customHeight="1">
      <c r="A38" s="287" t="s">
        <v>182</v>
      </c>
      <c r="B38" s="298">
        <v>0</v>
      </c>
      <c r="C38" s="55"/>
      <c r="D38" s="57">
        <v>-487632</v>
      </c>
      <c r="E38" s="55"/>
    </row>
    <row r="39" spans="1:5" ht="15" customHeight="1">
      <c r="A39" s="287" t="s">
        <v>183</v>
      </c>
      <c r="B39" s="298">
        <v>0</v>
      </c>
      <c r="C39" s="55"/>
      <c r="D39" s="57">
        <v>-563687</v>
      </c>
      <c r="E39" s="55"/>
    </row>
    <row r="40" spans="1:6" ht="15" customHeight="1">
      <c r="A40" s="52" t="s">
        <v>45</v>
      </c>
      <c r="B40" s="57">
        <f>66644.13+1</f>
        <v>66645.13</v>
      </c>
      <c r="C40" s="55"/>
      <c r="D40" s="57">
        <v>27451.199999999953</v>
      </c>
      <c r="E40" s="55"/>
      <c r="F40" s="53"/>
    </row>
    <row r="41" spans="1:6" ht="15" customHeight="1">
      <c r="A41" s="52" t="s">
        <v>214</v>
      </c>
      <c r="B41" s="56">
        <v>4781.4</v>
      </c>
      <c r="C41" s="55"/>
      <c r="D41" s="56">
        <v>-26161.26</v>
      </c>
      <c r="E41" s="55"/>
      <c r="F41" s="53"/>
    </row>
    <row r="42" spans="3:7" ht="14.25">
      <c r="C42" s="55"/>
      <c r="D42" s="46"/>
      <c r="E42" s="55"/>
      <c r="F42" s="46"/>
      <c r="G42" s="46"/>
    </row>
    <row r="43" spans="1:7" ht="15" customHeight="1">
      <c r="A43" s="52" t="s">
        <v>44</v>
      </c>
      <c r="C43" s="277">
        <f>SUM(B36:B41)</f>
        <v>3604333.4399999985</v>
      </c>
      <c r="D43" s="46"/>
      <c r="E43" s="277">
        <f>SUM(D36:D41)</f>
        <v>8907853.69</v>
      </c>
      <c r="F43" s="46"/>
      <c r="G43" s="53"/>
    </row>
    <row r="44" spans="1:6" ht="15" customHeight="1">
      <c r="A44" s="52"/>
      <c r="C44" s="51"/>
      <c r="D44" s="46"/>
      <c r="E44" s="51"/>
      <c r="F44" s="46"/>
    </row>
    <row r="45" spans="1:5" ht="15" customHeight="1" thickBot="1">
      <c r="A45" s="50" t="s">
        <v>192</v>
      </c>
      <c r="B45" s="49"/>
      <c r="C45" s="48">
        <f>C35+C43-1</f>
        <v>-5603219.220000002</v>
      </c>
      <c r="D45" s="49"/>
      <c r="E45" s="48">
        <f>E35+E43</f>
        <v>-5603219.220000001</v>
      </c>
    </row>
    <row r="46" spans="1:5" ht="15" customHeight="1" thickTop="1">
      <c r="A46" s="47"/>
      <c r="C46" s="57"/>
      <c r="E46" s="57"/>
    </row>
    <row r="47" spans="1:5" ht="15" customHeight="1">
      <c r="A47" s="47"/>
      <c r="C47" s="57"/>
      <c r="D47" s="46"/>
      <c r="E47" s="57"/>
    </row>
    <row r="48" s="46"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AC93"/>
  <sheetViews>
    <sheetView zoomScalePageLayoutView="0" workbookViewId="0" topLeftCell="A1">
      <selection activeCell="A1" sqref="A1:F1"/>
    </sheetView>
  </sheetViews>
  <sheetFormatPr defaultColWidth="15.7109375" defaultRowHeight="15" customHeight="1"/>
  <cols>
    <col min="1" max="1" width="59.7109375" style="75" bestFit="1" customWidth="1"/>
    <col min="2" max="3" width="15.7109375" style="78" customWidth="1"/>
    <col min="4" max="5" width="15.7109375" style="77" customWidth="1"/>
    <col min="6" max="6" width="15.7109375" style="76" customWidth="1"/>
    <col min="7" max="16384" width="15.7109375" style="75" customWidth="1"/>
  </cols>
  <sheetData>
    <row r="1" spans="1:6" s="117" customFormat="1" ht="30" customHeight="1">
      <c r="A1" s="322" t="s">
        <v>0</v>
      </c>
      <c r="B1" s="322"/>
      <c r="C1" s="322"/>
      <c r="D1" s="322"/>
      <c r="E1" s="322"/>
      <c r="F1" s="322"/>
    </row>
    <row r="2" spans="1:6" s="116" customFormat="1" ht="15" customHeight="1">
      <c r="A2" s="323"/>
      <c r="B2" s="323"/>
      <c r="C2" s="323"/>
      <c r="D2" s="323"/>
      <c r="E2" s="323"/>
      <c r="F2" s="323"/>
    </row>
    <row r="3" spans="1:6" s="115" customFormat="1" ht="15" customHeight="1">
      <c r="A3" s="324" t="s">
        <v>98</v>
      </c>
      <c r="B3" s="324"/>
      <c r="C3" s="324"/>
      <c r="D3" s="324"/>
      <c r="E3" s="324"/>
      <c r="F3" s="324"/>
    </row>
    <row r="4" spans="1:6" s="115" customFormat="1" ht="15" customHeight="1">
      <c r="A4" s="324" t="s">
        <v>193</v>
      </c>
      <c r="B4" s="324"/>
      <c r="C4" s="324"/>
      <c r="D4" s="324"/>
      <c r="E4" s="324"/>
      <c r="F4" s="324"/>
    </row>
    <row r="5" spans="1:6" s="109" customFormat="1" ht="15" customHeight="1">
      <c r="A5" s="114"/>
      <c r="B5" s="113"/>
      <c r="C5" s="113"/>
      <c r="D5" s="112"/>
      <c r="E5" s="111"/>
      <c r="F5" s="110"/>
    </row>
    <row r="6" spans="1:6" s="105" customFormat="1" ht="30" customHeight="1">
      <c r="A6" s="108"/>
      <c r="B6" s="107" t="s">
        <v>173</v>
      </c>
      <c r="C6" s="107" t="s">
        <v>1</v>
      </c>
      <c r="D6" s="107" t="s">
        <v>2</v>
      </c>
      <c r="E6" s="107" t="s">
        <v>3</v>
      </c>
      <c r="F6" s="106" t="s">
        <v>4</v>
      </c>
    </row>
    <row r="7" spans="1:6" s="83" customFormat="1" ht="15" customHeight="1">
      <c r="A7" s="96" t="s">
        <v>97</v>
      </c>
      <c r="B7" s="104"/>
      <c r="C7" s="104"/>
      <c r="D7" s="99"/>
      <c r="E7" s="99"/>
      <c r="F7" s="99"/>
    </row>
    <row r="8" spans="1:6" s="79" customFormat="1" ht="15" customHeight="1">
      <c r="A8" s="102" t="s">
        <v>96</v>
      </c>
      <c r="B8" s="103">
        <f>'Premiums QTD-7'!B12</f>
        <v>2851594</v>
      </c>
      <c r="C8" s="103">
        <f>'Premiums QTD-7'!C12</f>
        <v>-21667</v>
      </c>
      <c r="D8" s="90">
        <f>'Premiums QTD-7'!D12</f>
        <v>0</v>
      </c>
      <c r="E8" s="90">
        <f>'Premiums QTD-7'!E12</f>
        <v>0</v>
      </c>
      <c r="F8" s="103">
        <f>SUM(B8:E8)</f>
        <v>2829927</v>
      </c>
    </row>
    <row r="9" spans="1:8" s="79" customFormat="1" ht="15" customHeight="1">
      <c r="A9" s="280" t="s">
        <v>211</v>
      </c>
      <c r="B9" s="97">
        <f>'Earned Incurred QTD-5'!D55</f>
        <v>6443.22</v>
      </c>
      <c r="C9" s="90">
        <v>0</v>
      </c>
      <c r="D9" s="90">
        <v>0</v>
      </c>
      <c r="E9" s="90">
        <v>0</v>
      </c>
      <c r="F9" s="89">
        <f>SUM(B9:E9)</f>
        <v>6443.22</v>
      </c>
      <c r="G9" s="81"/>
      <c r="H9" s="100"/>
    </row>
    <row r="10" spans="1:6" s="79" customFormat="1" ht="15" customHeight="1">
      <c r="A10" s="102" t="s">
        <v>95</v>
      </c>
      <c r="B10" s="97">
        <f>'Earned Incurred QTD-5'!C48</f>
        <v>12340.33</v>
      </c>
      <c r="C10" s="90">
        <v>0</v>
      </c>
      <c r="D10" s="90">
        <v>0</v>
      </c>
      <c r="E10" s="90">
        <v>0</v>
      </c>
      <c r="F10" s="89">
        <f>SUM(B10:E10)</f>
        <v>12340.33</v>
      </c>
    </row>
    <row r="11" spans="1:8" s="79" customFormat="1" ht="15" customHeight="1">
      <c r="A11" s="102" t="s">
        <v>94</v>
      </c>
      <c r="B11" s="97">
        <f>'Earned Incurred QTD-5'!D53</f>
        <v>-3258.53</v>
      </c>
      <c r="C11" s="90">
        <v>0</v>
      </c>
      <c r="D11" s="90">
        <v>0</v>
      </c>
      <c r="E11" s="90">
        <v>0</v>
      </c>
      <c r="F11" s="97">
        <f>SUM(B11:E11)</f>
        <v>-3258.53</v>
      </c>
      <c r="G11" s="81"/>
      <c r="H11" s="100"/>
    </row>
    <row r="12" spans="1:6" s="79" customFormat="1" ht="15" customHeight="1" thickBot="1">
      <c r="A12" s="84" t="s">
        <v>68</v>
      </c>
      <c r="B12" s="88">
        <f>SUM(B8:B11)-1</f>
        <v>2867118.0200000005</v>
      </c>
      <c r="C12" s="302">
        <f>SUM(C8:C11)</f>
        <v>-21667</v>
      </c>
      <c r="D12" s="94">
        <f>SUM(D8:D11)</f>
        <v>0</v>
      </c>
      <c r="E12" s="94">
        <f>SUM(E8:E11)</f>
        <v>0</v>
      </c>
      <c r="F12" s="87">
        <f>SUM(B12:E12)</f>
        <v>2845451.0200000005</v>
      </c>
    </row>
    <row r="13" spans="1:6" s="79" customFormat="1" ht="15" customHeight="1" thickTop="1">
      <c r="A13" s="84"/>
      <c r="B13" s="80"/>
      <c r="C13" s="80"/>
      <c r="D13" s="80"/>
      <c r="E13" s="89"/>
      <c r="F13" s="89"/>
    </row>
    <row r="14" spans="1:6" s="79" customFormat="1" ht="15" customHeight="1">
      <c r="A14" s="96" t="s">
        <v>93</v>
      </c>
      <c r="B14" s="99"/>
      <c r="C14" s="99"/>
      <c r="D14" s="99"/>
      <c r="E14" s="98"/>
      <c r="F14" s="89"/>
    </row>
    <row r="15" spans="1:6" s="79" customFormat="1" ht="15" customHeight="1">
      <c r="A15" s="84" t="s">
        <v>92</v>
      </c>
      <c r="B15" s="97">
        <f>'Losses Incurred QTD-9'!B12</f>
        <v>100106.29999999999</v>
      </c>
      <c r="C15" s="97">
        <f>'Losses Incurred QTD-9'!C12</f>
        <v>1087182.06</v>
      </c>
      <c r="D15" s="97">
        <f>'Losses Incurred QTD-9'!D12</f>
        <v>41290.259999999995</v>
      </c>
      <c r="E15" s="90">
        <f>'Losses Incurred QTD-9'!E12</f>
        <v>0</v>
      </c>
      <c r="F15" s="97">
        <f>SUM(B15:E15)-1</f>
        <v>1228577.62</v>
      </c>
    </row>
    <row r="16" spans="1:6" s="79" customFormat="1" ht="15" customHeight="1">
      <c r="A16" s="84" t="s">
        <v>91</v>
      </c>
      <c r="B16" s="97">
        <f>'[2]Loss Expenses Paid QTD-15'!$C$24</f>
        <v>23941.809999999998</v>
      </c>
      <c r="C16" s="97">
        <f>'[2]Loss Expenses Paid QTD-15'!$C$18</f>
        <v>129584</v>
      </c>
      <c r="D16" s="97">
        <f>'[2]Loss Expenses Paid QTD-15'!$C$12</f>
        <v>22202.920000000002</v>
      </c>
      <c r="E16" s="90">
        <v>0</v>
      </c>
      <c r="F16" s="97">
        <f aca="true" t="shared" si="0" ref="F16:F23">SUM(B16:E16)</f>
        <v>175728.73</v>
      </c>
    </row>
    <row r="17" spans="1:6" s="79" customFormat="1" ht="15" customHeight="1">
      <c r="A17" s="84" t="s">
        <v>90</v>
      </c>
      <c r="B17" s="97">
        <f>'[2]Loss Expenses Paid QTD-15'!$I$24</f>
        <v>8884.01</v>
      </c>
      <c r="C17" s="97">
        <f>'[2]Loss Expenses Paid QTD-15'!$I$18</f>
        <v>96483.74</v>
      </c>
      <c r="D17" s="97">
        <f>'[2]Loss Expenses Paid QTD-15'!$I$12</f>
        <v>5207.5599999999995</v>
      </c>
      <c r="E17" s="90">
        <v>0</v>
      </c>
      <c r="F17" s="97">
        <f>SUM(B17:E17)+1</f>
        <v>110576.31</v>
      </c>
    </row>
    <row r="18" spans="1:6" s="79" customFormat="1" ht="15" customHeight="1">
      <c r="A18" s="84" t="s">
        <v>89</v>
      </c>
      <c r="B18" s="97">
        <f>'[1]3Q13 Trial Balance (FS)'!D376</f>
        <v>6696.92</v>
      </c>
      <c r="C18" s="90">
        <v>0</v>
      </c>
      <c r="D18" s="90">
        <v>0</v>
      </c>
      <c r="E18" s="90">
        <v>0</v>
      </c>
      <c r="F18" s="97">
        <f t="shared" si="0"/>
        <v>6696.92</v>
      </c>
    </row>
    <row r="19" spans="1:7" s="79" customFormat="1" ht="15" customHeight="1">
      <c r="A19" s="101" t="s">
        <v>88</v>
      </c>
      <c r="B19" s="97">
        <f>'[1]3Q13 Trial Balance (FS)'!D382</f>
        <v>27925.29</v>
      </c>
      <c r="C19" s="90">
        <v>0</v>
      </c>
      <c r="D19" s="90">
        <v>0</v>
      </c>
      <c r="E19" s="90">
        <v>0</v>
      </c>
      <c r="F19" s="97">
        <f t="shared" si="0"/>
        <v>27925.29</v>
      </c>
      <c r="G19" s="81"/>
    </row>
    <row r="20" spans="1:7" s="79" customFormat="1" ht="15" customHeight="1">
      <c r="A20" s="84" t="s">
        <v>87</v>
      </c>
      <c r="B20" s="97">
        <f>'[1]3Q13 Trial Balance (FS)'!D378</f>
        <v>4125</v>
      </c>
      <c r="C20" s="90">
        <v>0</v>
      </c>
      <c r="D20" s="90">
        <v>0</v>
      </c>
      <c r="E20" s="90">
        <v>0</v>
      </c>
      <c r="F20" s="97">
        <f t="shared" si="0"/>
        <v>4125</v>
      </c>
      <c r="G20" s="81"/>
    </row>
    <row r="21" spans="1:6" s="79" customFormat="1" ht="15" customHeight="1">
      <c r="A21" s="101" t="s">
        <v>86</v>
      </c>
      <c r="B21" s="97">
        <f>'[1]3Q13 Trial Balance (FS)'!D371-1</f>
        <v>243125.5</v>
      </c>
      <c r="C21" s="97">
        <f>'[1]3Q13 Trial Balance (FS)'!D367</f>
        <v>-2086.2</v>
      </c>
      <c r="D21" s="90">
        <f>'[1]3Q13 Trial Balance (FS)'!D363</f>
        <v>0</v>
      </c>
      <c r="E21" s="90">
        <v>0</v>
      </c>
      <c r="F21" s="97">
        <f>SUM(B21:E21)+1</f>
        <v>241040.3</v>
      </c>
    </row>
    <row r="22" spans="1:7" s="79" customFormat="1" ht="15" customHeight="1">
      <c r="A22" s="84" t="s">
        <v>85</v>
      </c>
      <c r="B22" s="97">
        <f>'Earned Incurred QTD-5'!C39</f>
        <v>752413.2800000001</v>
      </c>
      <c r="C22" s="90">
        <v>0</v>
      </c>
      <c r="D22" s="90">
        <v>0</v>
      </c>
      <c r="E22" s="90">
        <v>0</v>
      </c>
      <c r="F22" s="97">
        <f t="shared" si="0"/>
        <v>752413.2800000001</v>
      </c>
      <c r="G22" s="81"/>
    </row>
    <row r="23" spans="1:7" s="79" customFormat="1" ht="15" customHeight="1">
      <c r="A23" s="84" t="s">
        <v>13</v>
      </c>
      <c r="B23" s="90">
        <v>0</v>
      </c>
      <c r="C23" s="90">
        <v>0</v>
      </c>
      <c r="D23" s="90">
        <v>0</v>
      </c>
      <c r="E23" s="90">
        <v>0</v>
      </c>
      <c r="F23" s="90">
        <f t="shared" si="0"/>
        <v>0</v>
      </c>
      <c r="G23" s="81"/>
    </row>
    <row r="24" spans="1:7" s="79" customFormat="1" ht="15" customHeight="1" thickBot="1">
      <c r="A24" s="84" t="s">
        <v>68</v>
      </c>
      <c r="B24" s="88">
        <f>SUM(B15:B23)</f>
        <v>1167218.11</v>
      </c>
      <c r="C24" s="88">
        <f>SUM(C15:C23)</f>
        <v>1311163.6</v>
      </c>
      <c r="D24" s="88">
        <f>SUM(D15:D23)</f>
        <v>68700.73999999999</v>
      </c>
      <c r="E24" s="94">
        <f>SUM(E15:E23)</f>
        <v>0</v>
      </c>
      <c r="F24" s="87">
        <f>SUM(F15:F23)</f>
        <v>2547083.45</v>
      </c>
      <c r="G24" s="84"/>
    </row>
    <row r="25" spans="1:6" s="79" customFormat="1" ht="15" customHeight="1" thickTop="1">
      <c r="A25" s="84"/>
      <c r="B25" s="80"/>
      <c r="C25" s="80"/>
      <c r="D25" s="80"/>
      <c r="E25" s="89"/>
      <c r="F25" s="89"/>
    </row>
    <row r="26" spans="1:6" s="79" customFormat="1" ht="15" customHeight="1" thickBot="1">
      <c r="A26" s="86" t="s">
        <v>84</v>
      </c>
      <c r="B26" s="88">
        <f>B12-B24</f>
        <v>1699899.9100000004</v>
      </c>
      <c r="C26" s="302">
        <f>C12-C24</f>
        <v>-1332830.6</v>
      </c>
      <c r="D26" s="302">
        <f>D12-D24</f>
        <v>-68700.73999999999</v>
      </c>
      <c r="E26" s="94">
        <f>E12-E24</f>
        <v>0</v>
      </c>
      <c r="F26" s="87">
        <f>F12-F24</f>
        <v>298367.5700000003</v>
      </c>
    </row>
    <row r="27" spans="1:6" s="79" customFormat="1" ht="15" customHeight="1" thickTop="1">
      <c r="A27" s="84"/>
      <c r="B27" s="80"/>
      <c r="C27" s="80"/>
      <c r="D27" s="80"/>
      <c r="E27" s="89"/>
      <c r="F27" s="89"/>
    </row>
    <row r="28" spans="1:6" s="79" customFormat="1" ht="15" customHeight="1">
      <c r="A28" s="96" t="s">
        <v>83</v>
      </c>
      <c r="B28" s="99"/>
      <c r="C28" s="99"/>
      <c r="D28" s="99"/>
      <c r="E28" s="98"/>
      <c r="F28" s="89"/>
    </row>
    <row r="29" spans="1:6" s="79" customFormat="1" ht="15" customHeight="1">
      <c r="A29" s="84" t="s">
        <v>82</v>
      </c>
      <c r="B29" s="89">
        <f>'Earned Incurred QTD-5'!B50</f>
        <v>9990.1</v>
      </c>
      <c r="C29" s="90">
        <v>0</v>
      </c>
      <c r="D29" s="90">
        <v>0</v>
      </c>
      <c r="E29" s="90">
        <v>0</v>
      </c>
      <c r="F29" s="89">
        <f>SUM(B29:E29)</f>
        <v>9990.1</v>
      </c>
    </row>
    <row r="30" spans="1:7" s="79" customFormat="1" ht="15" customHeight="1">
      <c r="A30" s="84" t="s">
        <v>81</v>
      </c>
      <c r="B30" s="89">
        <f>'Balance Sheet-1'!C17</f>
        <v>272525.04000000004</v>
      </c>
      <c r="C30" s="90">
        <v>0</v>
      </c>
      <c r="D30" s="90">
        <v>0</v>
      </c>
      <c r="E30" s="90">
        <v>0</v>
      </c>
      <c r="F30" s="89">
        <f>SUM(B30:E30)</f>
        <v>272525.04000000004</v>
      </c>
      <c r="G30" s="81"/>
    </row>
    <row r="31" spans="1:8" s="79" customFormat="1" ht="15" customHeight="1" thickBot="1">
      <c r="A31" s="84" t="s">
        <v>68</v>
      </c>
      <c r="B31" s="88">
        <f>SUM(B29:B30)</f>
        <v>282515.14</v>
      </c>
      <c r="C31" s="94">
        <f>SUM(C29:C30)</f>
        <v>0</v>
      </c>
      <c r="D31" s="94">
        <f>SUM(D29:D30)</f>
        <v>0</v>
      </c>
      <c r="E31" s="94">
        <f>SUM(E29:E30)</f>
        <v>0</v>
      </c>
      <c r="F31" s="87">
        <f>SUM(F29:F30)</f>
        <v>282515.14</v>
      </c>
      <c r="G31" s="81"/>
      <c r="H31" s="100"/>
    </row>
    <row r="32" spans="1:6" s="79" customFormat="1" ht="15" customHeight="1" thickTop="1">
      <c r="A32" s="84"/>
      <c r="B32" s="80"/>
      <c r="C32" s="80"/>
      <c r="D32" s="80"/>
      <c r="E32" s="89"/>
      <c r="F32" s="89"/>
    </row>
    <row r="33" spans="1:6" s="79" customFormat="1" ht="15" customHeight="1">
      <c r="A33" s="96" t="s">
        <v>80</v>
      </c>
      <c r="B33" s="99"/>
      <c r="C33" s="99"/>
      <c r="D33" s="99"/>
      <c r="E33" s="98"/>
      <c r="F33" s="89"/>
    </row>
    <row r="34" spans="1:7" s="79" customFormat="1" ht="15" customHeight="1">
      <c r="A34" s="84" t="s">
        <v>79</v>
      </c>
      <c r="B34" s="97">
        <f>'Earned Incurred QTD-5'!B49</f>
        <v>10831.880000000001</v>
      </c>
      <c r="C34" s="90">
        <v>0</v>
      </c>
      <c r="D34" s="90">
        <v>0</v>
      </c>
      <c r="E34" s="90">
        <v>0</v>
      </c>
      <c r="F34" s="89">
        <f>SUM(B34:E34)</f>
        <v>10831.880000000001</v>
      </c>
      <c r="G34" s="81"/>
    </row>
    <row r="35" spans="1:8" s="79" customFormat="1" ht="15" customHeight="1">
      <c r="A35" s="84" t="s">
        <v>78</v>
      </c>
      <c r="B35" s="89">
        <v>339168.17</v>
      </c>
      <c r="C35" s="90">
        <v>0</v>
      </c>
      <c r="D35" s="90">
        <v>0</v>
      </c>
      <c r="E35" s="90">
        <v>0</v>
      </c>
      <c r="F35" s="89">
        <f>SUM(B35:E35)</f>
        <v>339168.17</v>
      </c>
      <c r="G35" s="81"/>
      <c r="H35" s="81"/>
    </row>
    <row r="36" spans="1:8" s="79" customFormat="1" ht="15" customHeight="1">
      <c r="A36" s="84" t="s">
        <v>77</v>
      </c>
      <c r="B36" s="89">
        <f>'Income Statement-2'!B41</f>
        <v>4781.4</v>
      </c>
      <c r="C36" s="90">
        <v>0</v>
      </c>
      <c r="D36" s="90">
        <v>0</v>
      </c>
      <c r="E36" s="90">
        <v>0</v>
      </c>
      <c r="F36" s="89">
        <f>SUM(B36:E36)</f>
        <v>4781.4</v>
      </c>
      <c r="G36" s="81"/>
      <c r="H36" s="81"/>
    </row>
    <row r="37" spans="1:7" s="79" customFormat="1" ht="15" customHeight="1" thickBot="1">
      <c r="A37" s="84" t="s">
        <v>68</v>
      </c>
      <c r="B37" s="88">
        <f>SUM(B34:B36)</f>
        <v>354781.45</v>
      </c>
      <c r="C37" s="94">
        <f>SUM(C34:C36)</f>
        <v>0</v>
      </c>
      <c r="D37" s="94">
        <f>SUM(D34:D36)</f>
        <v>0</v>
      </c>
      <c r="E37" s="94">
        <f>SUM(E34:E36)</f>
        <v>0</v>
      </c>
      <c r="F37" s="87">
        <f>SUM(F34:F36)</f>
        <v>354781.45</v>
      </c>
      <c r="G37" s="81"/>
    </row>
    <row r="38" spans="1:6" s="79" customFormat="1" ht="15" customHeight="1" thickTop="1">
      <c r="A38" s="84"/>
      <c r="B38" s="80"/>
      <c r="C38" s="80"/>
      <c r="D38" s="80"/>
      <c r="E38" s="89"/>
      <c r="F38" s="90"/>
    </row>
    <row r="39" spans="1:29" s="309" customFormat="1" ht="15">
      <c r="A39" s="303" t="s">
        <v>210</v>
      </c>
      <c r="B39" s="304"/>
      <c r="C39" s="304"/>
      <c r="D39" s="304"/>
      <c r="E39" s="304"/>
      <c r="F39" s="304"/>
      <c r="G39" s="305"/>
      <c r="H39" s="280"/>
      <c r="I39" s="306"/>
      <c r="J39" s="307"/>
      <c r="K39" s="307"/>
      <c r="L39" s="307"/>
      <c r="M39" s="307"/>
      <c r="N39" s="308"/>
      <c r="O39" s="308"/>
      <c r="P39" s="308"/>
      <c r="Q39" s="308"/>
      <c r="R39" s="308"/>
      <c r="S39" s="307"/>
      <c r="T39" s="307"/>
      <c r="U39" s="307"/>
      <c r="V39" s="307"/>
      <c r="W39" s="307"/>
      <c r="X39" s="307"/>
      <c r="Y39" s="307"/>
      <c r="Z39" s="307"/>
      <c r="AA39" s="307"/>
      <c r="AB39" s="307"/>
      <c r="AC39" s="307"/>
    </row>
    <row r="40" spans="1:29" s="309" customFormat="1" ht="15">
      <c r="A40" s="309" t="s">
        <v>181</v>
      </c>
      <c r="B40" s="89">
        <f>'Income Statement-2'!B37</f>
        <v>3122230</v>
      </c>
      <c r="C40" s="90">
        <v>0</v>
      </c>
      <c r="D40" s="90">
        <v>0</v>
      </c>
      <c r="E40" s="90">
        <v>0</v>
      </c>
      <c r="F40" s="89">
        <f>SUM(B40:E40)</f>
        <v>3122230</v>
      </c>
      <c r="G40" s="305"/>
      <c r="H40" s="280"/>
      <c r="I40" s="306"/>
      <c r="J40" s="307"/>
      <c r="K40" s="307"/>
      <c r="L40" s="307"/>
      <c r="M40" s="307"/>
      <c r="N40" s="308"/>
      <c r="O40" s="308"/>
      <c r="P40" s="308"/>
      <c r="Q40" s="308"/>
      <c r="R40" s="308"/>
      <c r="S40" s="307"/>
      <c r="T40" s="307"/>
      <c r="U40" s="307"/>
      <c r="V40" s="307"/>
      <c r="W40" s="307"/>
      <c r="X40" s="307"/>
      <c r="Y40" s="307"/>
      <c r="Z40" s="307"/>
      <c r="AA40" s="307"/>
      <c r="AB40" s="307"/>
      <c r="AC40" s="307"/>
    </row>
    <row r="41" spans="1:18" s="309" customFormat="1" ht="15.75" thickBot="1">
      <c r="A41" s="309" t="s">
        <v>68</v>
      </c>
      <c r="B41" s="88">
        <f>SUM(B40)</f>
        <v>3122230</v>
      </c>
      <c r="C41" s="94">
        <f>SUM(C40)</f>
        <v>0</v>
      </c>
      <c r="D41" s="94">
        <f>SUM(D40)</f>
        <v>0</v>
      </c>
      <c r="E41" s="94">
        <f>SUM(E40)</f>
        <v>0</v>
      </c>
      <c r="F41" s="87">
        <f>SUM(F40)</f>
        <v>3122230</v>
      </c>
      <c r="G41" s="305"/>
      <c r="H41" s="280"/>
      <c r="I41" s="310"/>
      <c r="J41" s="311"/>
      <c r="K41" s="307"/>
      <c r="L41" s="307"/>
      <c r="M41" s="307"/>
      <c r="N41" s="308"/>
      <c r="O41" s="308"/>
      <c r="P41" s="308"/>
      <c r="Q41" s="308"/>
      <c r="R41" s="308"/>
    </row>
    <row r="42" spans="2:18" s="309" customFormat="1" ht="15.75" thickTop="1">
      <c r="B42" s="89"/>
      <c r="C42" s="90"/>
      <c r="D42" s="90"/>
      <c r="E42" s="90"/>
      <c r="F42" s="90"/>
      <c r="G42" s="305"/>
      <c r="H42" s="280"/>
      <c r="I42" s="310"/>
      <c r="J42" s="311"/>
      <c r="K42" s="307"/>
      <c r="L42" s="307"/>
      <c r="M42" s="307"/>
      <c r="N42" s="308"/>
      <c r="O42" s="308"/>
      <c r="P42" s="308"/>
      <c r="Q42" s="308"/>
      <c r="R42" s="308"/>
    </row>
    <row r="43" spans="1:7" s="280" customFormat="1" ht="15" customHeight="1" thickBot="1">
      <c r="A43" s="312" t="s">
        <v>76</v>
      </c>
      <c r="B43" s="313">
        <f>B26-B31+B37+B41</f>
        <v>4894396.220000001</v>
      </c>
      <c r="C43" s="313">
        <f>C26-C31+C37+C41</f>
        <v>-1332830.6</v>
      </c>
      <c r="D43" s="313">
        <f>D26-D31+D37+D41</f>
        <v>-68700.73999999999</v>
      </c>
      <c r="E43" s="94">
        <f>E26-E31+E37+E41</f>
        <v>0</v>
      </c>
      <c r="F43" s="87">
        <f>F26-F31+F37+F41</f>
        <v>3492863.8800000004</v>
      </c>
      <c r="G43" s="305"/>
    </row>
    <row r="44" spans="1:6" s="79" customFormat="1" ht="15" customHeight="1" thickTop="1">
      <c r="A44" s="84"/>
      <c r="B44" s="80"/>
      <c r="C44" s="80"/>
      <c r="D44" s="80"/>
      <c r="E44" s="89"/>
      <c r="F44" s="89"/>
    </row>
    <row r="45" spans="1:6" s="79" customFormat="1" ht="15" customHeight="1">
      <c r="A45" s="93" t="s">
        <v>75</v>
      </c>
      <c r="B45" s="92"/>
      <c r="C45" s="92"/>
      <c r="D45" s="92"/>
      <c r="E45" s="89"/>
      <c r="F45" s="89"/>
    </row>
    <row r="46" spans="1:7" s="79" customFormat="1" ht="15" customHeight="1">
      <c r="A46" s="84" t="s">
        <v>19</v>
      </c>
      <c r="B46" s="89">
        <f>'Premiums QTD-7'!B18</f>
        <v>5266068.2700000005</v>
      </c>
      <c r="C46" s="89">
        <f>'Premiums QTD-7'!C18</f>
        <v>316375.45</v>
      </c>
      <c r="D46" s="90">
        <f>'Premiums QTD-7'!D18</f>
        <v>0</v>
      </c>
      <c r="E46" s="90">
        <f>'Premiums QTD-7'!E18</f>
        <v>0</v>
      </c>
      <c r="F46" s="89">
        <f>SUM(B46:E46)-1</f>
        <v>5582442.720000001</v>
      </c>
      <c r="G46" s="91"/>
    </row>
    <row r="47" spans="1:6" s="79" customFormat="1" ht="15" customHeight="1">
      <c r="A47" s="84" t="s">
        <v>72</v>
      </c>
      <c r="B47" s="89">
        <f>'Losses Incurred QTD-9'!B18+'Losses Incurred QTD-9'!B24</f>
        <v>1306939</v>
      </c>
      <c r="C47" s="89">
        <f>'Losses Incurred QTD-9'!C18+'Losses Incurred QTD-9'!C24</f>
        <v>1383412.82</v>
      </c>
      <c r="D47" s="89">
        <f>'Losses Incurred QTD-9'!D18+'Losses Incurred QTD-9'!D24</f>
        <v>87762.79</v>
      </c>
      <c r="E47" s="90">
        <f>'Losses Incurred QTD-9'!E18+'Losses Incurred QTD-9'!E24</f>
        <v>0</v>
      </c>
      <c r="F47" s="89">
        <f>SUM(B47:E47)</f>
        <v>2778114.6100000003</v>
      </c>
    </row>
    <row r="48" spans="1:6" s="79" customFormat="1" ht="15" customHeight="1">
      <c r="A48" s="84" t="s">
        <v>74</v>
      </c>
      <c r="B48" s="89">
        <f>'Loss Expenses QTD-11'!B18</f>
        <v>143378.84</v>
      </c>
      <c r="C48" s="89">
        <f>'Loss Expenses QTD-11'!C18</f>
        <v>152953.06</v>
      </c>
      <c r="D48" s="89">
        <f>'Loss Expenses QTD-11'!D18</f>
        <v>57218.94</v>
      </c>
      <c r="E48" s="90">
        <f>'Loss Expenses QTD-11'!E18</f>
        <v>0</v>
      </c>
      <c r="F48" s="89">
        <f>SUM(B48:E48)</f>
        <v>353550.84</v>
      </c>
    </row>
    <row r="49" spans="1:6" s="79" customFormat="1" ht="15" customHeight="1">
      <c r="A49" s="84" t="s">
        <v>70</v>
      </c>
      <c r="B49" s="89">
        <f>'Earned Incurred QTD-5'!B41</f>
        <v>128332.84999999999</v>
      </c>
      <c r="C49" s="90">
        <v>0</v>
      </c>
      <c r="D49" s="90">
        <v>0</v>
      </c>
      <c r="E49" s="90">
        <v>0</v>
      </c>
      <c r="F49" s="89">
        <f>SUM(B49:E49)</f>
        <v>128332.84999999999</v>
      </c>
    </row>
    <row r="50" spans="1:6" s="79" customFormat="1" ht="15" customHeight="1">
      <c r="A50" s="84" t="s">
        <v>69</v>
      </c>
      <c r="B50" s="89">
        <f>'Earned Incurred QTD-5'!B33</f>
        <v>12883.48</v>
      </c>
      <c r="C50" s="90">
        <v>0</v>
      </c>
      <c r="D50" s="90">
        <v>0</v>
      </c>
      <c r="E50" s="90">
        <v>0</v>
      </c>
      <c r="F50" s="89">
        <f>SUM(B50:E50)</f>
        <v>12883.48</v>
      </c>
    </row>
    <row r="51" spans="1:6" s="79" customFormat="1" ht="15" customHeight="1" thickBot="1">
      <c r="A51" s="95" t="s">
        <v>68</v>
      </c>
      <c r="B51" s="88">
        <f>SUM(B46:B50)</f>
        <v>6857602.44</v>
      </c>
      <c r="C51" s="88">
        <f>SUM(C46:C50)</f>
        <v>1852741.33</v>
      </c>
      <c r="D51" s="88">
        <f>SUM(D46:D50)</f>
        <v>144981.72999999998</v>
      </c>
      <c r="E51" s="94">
        <f>SUM(E46:E50)</f>
        <v>0</v>
      </c>
      <c r="F51" s="87">
        <f>SUM(F46:F50)</f>
        <v>8855324.500000002</v>
      </c>
    </row>
    <row r="52" spans="1:6" s="79" customFormat="1" ht="15" customHeight="1" thickTop="1">
      <c r="A52" s="84"/>
      <c r="B52" s="80"/>
      <c r="C52" s="80"/>
      <c r="D52" s="80"/>
      <c r="E52" s="89"/>
      <c r="F52" s="89"/>
    </row>
    <row r="53" spans="1:6" s="79" customFormat="1" ht="15" customHeight="1">
      <c r="A53" s="93" t="s">
        <v>73</v>
      </c>
      <c r="B53" s="92"/>
      <c r="C53" s="92"/>
      <c r="D53" s="92"/>
      <c r="E53" s="89"/>
      <c r="F53" s="89"/>
    </row>
    <row r="54" spans="1:7" s="79" customFormat="1" ht="15" customHeight="1">
      <c r="A54" s="84" t="s">
        <v>19</v>
      </c>
      <c r="B54" s="89">
        <v>4149246.42</v>
      </c>
      <c r="C54" s="89">
        <v>1354473.18</v>
      </c>
      <c r="D54" s="90">
        <v>0</v>
      </c>
      <c r="E54" s="90">
        <v>0</v>
      </c>
      <c r="F54" s="89">
        <f>SUM(B54:E54)-1</f>
        <v>5503718.6</v>
      </c>
      <c r="G54" s="91"/>
    </row>
    <row r="55" spans="1:7" s="79" customFormat="1" ht="15" customHeight="1">
      <c r="A55" s="84" t="s">
        <v>72</v>
      </c>
      <c r="B55" s="89">
        <f>'Losses Incurred QTD-9'!B31</f>
        <v>638846.3200000001</v>
      </c>
      <c r="C55" s="89">
        <f>'Losses Incurred QTD-9'!C31</f>
        <v>2209315.96</v>
      </c>
      <c r="D55" s="89">
        <f>'Losses Incurred QTD-9'!D31</f>
        <v>115113.70999999999</v>
      </c>
      <c r="E55" s="90">
        <f>'Losses Incurred QTD-9'!E31</f>
        <v>0</v>
      </c>
      <c r="F55" s="89">
        <f>SUM(B55:E55)</f>
        <v>2963275.99</v>
      </c>
      <c r="G55" s="81"/>
    </row>
    <row r="56" spans="1:7" s="79" customFormat="1" ht="15" customHeight="1">
      <c r="A56" s="84" t="s">
        <v>71</v>
      </c>
      <c r="B56" s="89">
        <f>'Loss Expenses QTD-11'!B24</f>
        <v>77287.87</v>
      </c>
      <c r="C56" s="89">
        <f>'Loss Expenses QTD-11'!C24</f>
        <v>198598.59</v>
      </c>
      <c r="D56" s="89">
        <f>'Loss Expenses QTD-11'!D24</f>
        <v>76238.43</v>
      </c>
      <c r="E56" s="90">
        <f>'Loss Expenses QTD-11'!E24</f>
        <v>0</v>
      </c>
      <c r="F56" s="89">
        <f>SUM(B56:E56)</f>
        <v>352124.88999999996</v>
      </c>
      <c r="G56" s="81"/>
    </row>
    <row r="57" spans="1:7" s="79" customFormat="1" ht="15" customHeight="1">
      <c r="A57" s="84" t="s">
        <v>70</v>
      </c>
      <c r="B57" s="89">
        <f>'Earned Incurred QTD-5'!B42</f>
        <v>147430.66999999998</v>
      </c>
      <c r="C57" s="90">
        <v>0</v>
      </c>
      <c r="D57" s="90">
        <v>0</v>
      </c>
      <c r="E57" s="90">
        <v>0</v>
      </c>
      <c r="F57" s="89">
        <f>SUM(B57:E57)</f>
        <v>147430.66999999998</v>
      </c>
      <c r="G57" s="81"/>
    </row>
    <row r="58" spans="1:7" s="79" customFormat="1" ht="15" customHeight="1">
      <c r="A58" s="84" t="s">
        <v>69</v>
      </c>
      <c r="B58" s="89">
        <f>'Earned Incurred QTD-5'!B34</f>
        <v>240.91</v>
      </c>
      <c r="C58" s="90">
        <v>0</v>
      </c>
      <c r="D58" s="90">
        <v>0</v>
      </c>
      <c r="E58" s="90">
        <v>0</v>
      </c>
      <c r="F58" s="89">
        <f>SUM(B58:E58)</f>
        <v>240.91</v>
      </c>
      <c r="G58" s="81"/>
    </row>
    <row r="59" spans="1:6" s="79" customFormat="1" ht="15" customHeight="1" thickBot="1">
      <c r="A59" s="84" t="s">
        <v>68</v>
      </c>
      <c r="B59" s="88">
        <f>SUM(B54:B58)</f>
        <v>5013052.19</v>
      </c>
      <c r="C59" s="88">
        <f>SUM(C54:C58)</f>
        <v>3762387.7299999995</v>
      </c>
      <c r="D59" s="88">
        <f>SUM(D54:D58)</f>
        <v>191352.13999999998</v>
      </c>
      <c r="E59" s="94">
        <f>SUM(E54:E58)</f>
        <v>0</v>
      </c>
      <c r="F59" s="87">
        <f>SUM(F54:F58)+1</f>
        <v>8966792.06</v>
      </c>
    </row>
    <row r="60" spans="1:6" s="79" customFormat="1" ht="15" customHeight="1" thickTop="1">
      <c r="A60" s="84"/>
      <c r="B60" s="80"/>
      <c r="C60" s="80"/>
      <c r="D60" s="80"/>
      <c r="E60" s="80"/>
      <c r="F60" s="29"/>
    </row>
    <row r="61" spans="1:7" s="79" customFormat="1" ht="15" customHeight="1" thickBot="1">
      <c r="A61" s="86" t="s">
        <v>67</v>
      </c>
      <c r="B61" s="85">
        <f>B43-B51+B59</f>
        <v>3049845.9700000007</v>
      </c>
      <c r="C61" s="85">
        <f>C43-C51+C59</f>
        <v>576815.7999999993</v>
      </c>
      <c r="D61" s="85">
        <f>D43-D51+D59-1</f>
        <v>-22331.329999999987</v>
      </c>
      <c r="E61" s="315">
        <f>E43-E51+E59</f>
        <v>0</v>
      </c>
      <c r="F61" s="85">
        <f>F43-F51+F59+2</f>
        <v>3604333.4399999995</v>
      </c>
      <c r="G61" s="81"/>
    </row>
    <row r="62" spans="1:6" s="79" customFormat="1" ht="15" customHeight="1" thickTop="1">
      <c r="A62" s="84"/>
      <c r="B62" s="81"/>
      <c r="C62" s="81"/>
      <c r="D62" s="80"/>
      <c r="E62" s="80"/>
      <c r="F62" s="80"/>
    </row>
    <row r="63" spans="2:6" s="79" customFormat="1" ht="15" customHeight="1">
      <c r="B63" s="81"/>
      <c r="C63" s="81"/>
      <c r="D63" s="80"/>
      <c r="E63" s="80"/>
      <c r="F63" s="80"/>
    </row>
    <row r="64" spans="2:6" s="79" customFormat="1" ht="15" customHeight="1">
      <c r="B64" s="81"/>
      <c r="C64" s="81"/>
      <c r="D64" s="80"/>
      <c r="E64" s="80"/>
      <c r="F64" s="80"/>
    </row>
    <row r="65" spans="2:6" s="79" customFormat="1" ht="15" customHeight="1">
      <c r="B65" s="81"/>
      <c r="C65" s="81"/>
      <c r="D65" s="80"/>
      <c r="E65" s="80"/>
      <c r="F65" s="80"/>
    </row>
    <row r="66" spans="1:6" s="79" customFormat="1" ht="15" customHeight="1">
      <c r="A66" s="83"/>
      <c r="B66" s="82"/>
      <c r="C66" s="82"/>
      <c r="D66" s="80"/>
      <c r="E66" s="80"/>
      <c r="F66" s="80"/>
    </row>
    <row r="67" spans="2:6" s="79" customFormat="1" ht="15" customHeight="1">
      <c r="B67" s="81"/>
      <c r="C67" s="81"/>
      <c r="D67" s="80"/>
      <c r="E67" s="80"/>
      <c r="F67" s="29"/>
    </row>
    <row r="68" spans="2:6" s="79" customFormat="1" ht="15" customHeight="1">
      <c r="B68" s="81"/>
      <c r="C68" s="81"/>
      <c r="D68" s="80"/>
      <c r="E68" s="80"/>
      <c r="F68" s="29"/>
    </row>
    <row r="69" spans="2:6" s="79" customFormat="1" ht="15" customHeight="1">
      <c r="B69" s="81"/>
      <c r="C69" s="81"/>
      <c r="D69" s="80"/>
      <c r="E69" s="80"/>
      <c r="F69" s="29"/>
    </row>
    <row r="70" spans="2:6" s="79" customFormat="1" ht="15" customHeight="1">
      <c r="B70" s="81"/>
      <c r="C70" s="81"/>
      <c r="D70" s="80"/>
      <c r="E70" s="80"/>
      <c r="F70" s="29"/>
    </row>
    <row r="71" spans="2:6" s="79" customFormat="1" ht="15" customHeight="1">
      <c r="B71" s="81"/>
      <c r="C71" s="81"/>
      <c r="D71" s="80"/>
      <c r="E71" s="80"/>
      <c r="F71" s="29"/>
    </row>
    <row r="72" spans="2:6" s="79" customFormat="1" ht="15" customHeight="1">
      <c r="B72" s="81"/>
      <c r="C72" s="81"/>
      <c r="D72" s="80"/>
      <c r="E72" s="80"/>
      <c r="F72" s="29"/>
    </row>
    <row r="73" spans="2:6" s="79" customFormat="1" ht="15" customHeight="1">
      <c r="B73" s="81"/>
      <c r="C73" s="81"/>
      <c r="D73" s="80"/>
      <c r="E73" s="80"/>
      <c r="F73" s="29"/>
    </row>
    <row r="74" spans="2:6" s="79" customFormat="1" ht="15" customHeight="1">
      <c r="B74" s="81"/>
      <c r="C74" s="81"/>
      <c r="D74" s="80"/>
      <c r="E74" s="80"/>
      <c r="F74" s="29"/>
    </row>
    <row r="75" spans="2:6" s="79" customFormat="1" ht="15" customHeight="1">
      <c r="B75" s="81"/>
      <c r="C75" s="81"/>
      <c r="D75" s="80"/>
      <c r="E75" s="80"/>
      <c r="F75" s="29"/>
    </row>
    <row r="76" spans="2:6" s="79" customFormat="1" ht="15" customHeight="1">
      <c r="B76" s="81"/>
      <c r="C76" s="81"/>
      <c r="D76" s="80"/>
      <c r="E76" s="80"/>
      <c r="F76" s="29"/>
    </row>
    <row r="77" spans="2:6" s="79" customFormat="1" ht="15" customHeight="1">
      <c r="B77" s="81"/>
      <c r="C77" s="81"/>
      <c r="D77" s="80"/>
      <c r="E77" s="80"/>
      <c r="F77" s="29"/>
    </row>
    <row r="78" spans="2:6" s="79" customFormat="1" ht="15" customHeight="1">
      <c r="B78" s="81"/>
      <c r="C78" s="81"/>
      <c r="D78" s="80"/>
      <c r="E78" s="80"/>
      <c r="F78" s="29"/>
    </row>
    <row r="79" spans="2:6" s="79" customFormat="1" ht="15" customHeight="1">
      <c r="B79" s="81"/>
      <c r="C79" s="81"/>
      <c r="D79" s="80"/>
      <c r="E79" s="80"/>
      <c r="F79" s="29"/>
    </row>
    <row r="80" spans="2:6" s="79" customFormat="1" ht="15" customHeight="1">
      <c r="B80" s="81"/>
      <c r="C80" s="81"/>
      <c r="D80" s="80"/>
      <c r="E80" s="80"/>
      <c r="F80" s="29"/>
    </row>
    <row r="81" spans="2:6" s="79" customFormat="1" ht="15" customHeight="1">
      <c r="B81" s="81"/>
      <c r="C81" s="81"/>
      <c r="D81" s="80"/>
      <c r="E81" s="80"/>
      <c r="F81" s="29"/>
    </row>
    <row r="82" spans="2:6" s="79" customFormat="1" ht="15" customHeight="1">
      <c r="B82" s="81"/>
      <c r="C82" s="81"/>
      <c r="D82" s="80"/>
      <c r="E82" s="80"/>
      <c r="F82" s="29"/>
    </row>
    <row r="83" spans="2:6" s="79" customFormat="1" ht="15" customHeight="1">
      <c r="B83" s="81"/>
      <c r="C83" s="81"/>
      <c r="D83" s="80"/>
      <c r="E83" s="80"/>
      <c r="F83" s="29"/>
    </row>
    <row r="84" spans="2:6" s="79" customFormat="1" ht="15" customHeight="1">
      <c r="B84" s="81"/>
      <c r="C84" s="81"/>
      <c r="D84" s="80"/>
      <c r="E84" s="80"/>
      <c r="F84" s="29"/>
    </row>
    <row r="85" spans="2:6" s="79" customFormat="1" ht="15" customHeight="1">
      <c r="B85" s="81"/>
      <c r="C85" s="81"/>
      <c r="D85" s="80"/>
      <c r="E85" s="80"/>
      <c r="F85" s="29"/>
    </row>
    <row r="86" spans="2:6" s="79" customFormat="1" ht="15" customHeight="1">
      <c r="B86" s="81"/>
      <c r="C86" s="81"/>
      <c r="D86" s="80"/>
      <c r="E86" s="80"/>
      <c r="F86" s="29"/>
    </row>
    <row r="87" spans="2:6" s="79" customFormat="1" ht="15" customHeight="1">
      <c r="B87" s="81"/>
      <c r="C87" s="81"/>
      <c r="D87" s="80"/>
      <c r="E87" s="80"/>
      <c r="F87" s="29"/>
    </row>
    <row r="88" spans="2:6" s="79" customFormat="1" ht="15" customHeight="1">
      <c r="B88" s="81"/>
      <c r="C88" s="81"/>
      <c r="D88" s="80"/>
      <c r="E88" s="80"/>
      <c r="F88" s="29"/>
    </row>
    <row r="89" spans="2:6" s="79" customFormat="1" ht="15" customHeight="1">
      <c r="B89" s="81"/>
      <c r="C89" s="81"/>
      <c r="D89" s="80"/>
      <c r="E89" s="80"/>
      <c r="F89" s="29"/>
    </row>
    <row r="90" spans="2:6" s="79" customFormat="1" ht="15" customHeight="1">
      <c r="B90" s="81"/>
      <c r="C90" s="81"/>
      <c r="D90" s="80"/>
      <c r="E90" s="80"/>
      <c r="F90" s="29"/>
    </row>
    <row r="91" spans="2:6" s="79" customFormat="1" ht="15" customHeight="1">
      <c r="B91" s="81"/>
      <c r="C91" s="81"/>
      <c r="D91" s="80"/>
      <c r="E91" s="80"/>
      <c r="F91" s="29"/>
    </row>
    <row r="92" spans="2:6" s="79" customFormat="1" ht="15" customHeight="1">
      <c r="B92" s="81"/>
      <c r="C92" s="81"/>
      <c r="D92" s="80"/>
      <c r="E92" s="80"/>
      <c r="F92" s="29"/>
    </row>
    <row r="93" spans="2:6" s="79" customFormat="1" ht="15" customHeight="1">
      <c r="B93" s="81"/>
      <c r="C93" s="81"/>
      <c r="D93" s="80"/>
      <c r="E93" s="80"/>
      <c r="F93" s="29"/>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AC96"/>
  <sheetViews>
    <sheetView zoomScalePageLayoutView="0" workbookViewId="0" topLeftCell="A1">
      <selection activeCell="A1" sqref="A1:F1"/>
    </sheetView>
  </sheetViews>
  <sheetFormatPr defaultColWidth="15.7109375" defaultRowHeight="15" customHeight="1"/>
  <cols>
    <col min="1" max="1" width="64.7109375" style="75" bestFit="1" customWidth="1"/>
    <col min="2" max="3" width="15.7109375" style="78" customWidth="1"/>
    <col min="4" max="5" width="15.7109375" style="77" customWidth="1"/>
    <col min="6" max="6" width="15.7109375" style="76" customWidth="1"/>
    <col min="7" max="16384" width="15.7109375" style="75" customWidth="1"/>
  </cols>
  <sheetData>
    <row r="1" spans="1:6" s="117" customFormat="1" ht="30" customHeight="1">
      <c r="A1" s="322" t="s">
        <v>0</v>
      </c>
      <c r="B1" s="322"/>
      <c r="C1" s="322"/>
      <c r="D1" s="322"/>
      <c r="E1" s="322"/>
      <c r="F1" s="322"/>
    </row>
    <row r="2" spans="1:6" s="116" customFormat="1" ht="15" customHeight="1">
      <c r="A2" s="323"/>
      <c r="B2" s="323"/>
      <c r="C2" s="323"/>
      <c r="D2" s="323"/>
      <c r="E2" s="323"/>
      <c r="F2" s="323"/>
    </row>
    <row r="3" spans="1:6" s="115" customFormat="1" ht="15" customHeight="1">
      <c r="A3" s="324" t="s">
        <v>98</v>
      </c>
      <c r="B3" s="324"/>
      <c r="C3" s="324"/>
      <c r="D3" s="324"/>
      <c r="E3" s="324"/>
      <c r="F3" s="324"/>
    </row>
    <row r="4" spans="1:6" s="115" customFormat="1" ht="15" customHeight="1">
      <c r="A4" s="324" t="s">
        <v>194</v>
      </c>
      <c r="B4" s="324"/>
      <c r="C4" s="324"/>
      <c r="D4" s="324"/>
      <c r="E4" s="324"/>
      <c r="F4" s="324"/>
    </row>
    <row r="5" spans="1:6" s="109" customFormat="1" ht="15" customHeight="1">
      <c r="A5" s="289"/>
      <c r="B5" s="121"/>
      <c r="C5" s="121"/>
      <c r="D5" s="120"/>
      <c r="E5" s="119"/>
      <c r="F5" s="118"/>
    </row>
    <row r="6" spans="1:6" s="105" customFormat="1" ht="30" customHeight="1">
      <c r="A6" s="108"/>
      <c r="B6" s="107" t="s">
        <v>173</v>
      </c>
      <c r="C6" s="107" t="s">
        <v>1</v>
      </c>
      <c r="D6" s="107" t="s">
        <v>2</v>
      </c>
      <c r="E6" s="107" t="s">
        <v>3</v>
      </c>
      <c r="F6" s="106" t="s">
        <v>4</v>
      </c>
    </row>
    <row r="7" spans="1:6" s="83" customFormat="1" ht="15" customHeight="1">
      <c r="A7" s="96" t="s">
        <v>97</v>
      </c>
      <c r="B7" s="104"/>
      <c r="C7" s="104"/>
      <c r="D7" s="99"/>
      <c r="E7" s="99"/>
      <c r="F7" s="99"/>
    </row>
    <row r="8" spans="1:6" s="79" customFormat="1" ht="15" customHeight="1">
      <c r="A8" s="102" t="s">
        <v>96</v>
      </c>
      <c r="B8" s="103">
        <f>'Premiums YTD-8'!B12</f>
        <v>8349182</v>
      </c>
      <c r="C8" s="103">
        <f>'Premiums YTD-8'!C12</f>
        <v>-114797</v>
      </c>
      <c r="D8" s="103">
        <f>'Premiums YTD-8'!D12</f>
        <v>-105</v>
      </c>
      <c r="E8" s="90">
        <f>'Premiums YTD-8'!E12</f>
        <v>0</v>
      </c>
      <c r="F8" s="103">
        <f>SUM(B8:E8)</f>
        <v>8234280</v>
      </c>
    </row>
    <row r="9" spans="1:8" s="79" customFormat="1" ht="15" customHeight="1">
      <c r="A9" s="280" t="s">
        <v>211</v>
      </c>
      <c r="B9" s="97">
        <f>'Earned Incurred YTD-6'!D55</f>
        <v>27527.35</v>
      </c>
      <c r="C9" s="148">
        <v>0</v>
      </c>
      <c r="D9" s="148">
        <v>0</v>
      </c>
      <c r="E9" s="148">
        <v>0</v>
      </c>
      <c r="F9" s="89">
        <f>SUM(B9:E9)</f>
        <v>27527.35</v>
      </c>
      <c r="G9" s="81"/>
      <c r="H9" s="100"/>
    </row>
    <row r="10" spans="1:7" s="79" customFormat="1" ht="15" customHeight="1">
      <c r="A10" s="102" t="s">
        <v>95</v>
      </c>
      <c r="B10" s="97">
        <f>'Earned Incurred YTD-6'!C48</f>
        <v>38666.46</v>
      </c>
      <c r="C10" s="148">
        <v>0</v>
      </c>
      <c r="D10" s="148">
        <v>0</v>
      </c>
      <c r="E10" s="148">
        <v>0</v>
      </c>
      <c r="F10" s="89">
        <f>SUM(B10:E10)</f>
        <v>38666.46</v>
      </c>
      <c r="G10" s="81"/>
    </row>
    <row r="11" spans="1:8" s="79" customFormat="1" ht="15" customHeight="1">
      <c r="A11" s="102" t="s">
        <v>94</v>
      </c>
      <c r="B11" s="97">
        <f>'Earned Incurred YTD-6'!D53</f>
        <v>-7179.18</v>
      </c>
      <c r="C11" s="148">
        <v>0</v>
      </c>
      <c r="D11" s="148">
        <v>0</v>
      </c>
      <c r="E11" s="148">
        <v>0</v>
      </c>
      <c r="F11" s="97">
        <f>SUM(B11:E11)</f>
        <v>-7179.18</v>
      </c>
      <c r="G11" s="81"/>
      <c r="H11" s="100"/>
    </row>
    <row r="12" spans="1:6" s="79" customFormat="1" ht="15" customHeight="1" thickBot="1">
      <c r="A12" s="84" t="s">
        <v>68</v>
      </c>
      <c r="B12" s="88">
        <f>SUM(B8:B11)-1</f>
        <v>8408195.63</v>
      </c>
      <c r="C12" s="302">
        <f>SUM(C8:C11)</f>
        <v>-114797</v>
      </c>
      <c r="D12" s="302">
        <f>SUM(D8:D11)</f>
        <v>-105</v>
      </c>
      <c r="E12" s="94">
        <f>SUM(E8:E11)</f>
        <v>0</v>
      </c>
      <c r="F12" s="87">
        <f>SUM(F8:F11)-1</f>
        <v>8293293.63</v>
      </c>
    </row>
    <row r="13" spans="1:6" s="79" customFormat="1" ht="15" customHeight="1" thickTop="1">
      <c r="A13" s="84"/>
      <c r="B13" s="80"/>
      <c r="C13" s="80"/>
      <c r="D13" s="80"/>
      <c r="E13" s="89"/>
      <c r="F13" s="89"/>
    </row>
    <row r="14" spans="1:6" s="79" customFormat="1" ht="15" customHeight="1">
      <c r="A14" s="96" t="s">
        <v>93</v>
      </c>
      <c r="B14" s="99"/>
      <c r="C14" s="99"/>
      <c r="D14" s="99"/>
      <c r="E14" s="98"/>
      <c r="F14" s="89"/>
    </row>
    <row r="15" spans="1:6" s="79" customFormat="1" ht="15" customHeight="1">
      <c r="A15" s="84" t="s">
        <v>92</v>
      </c>
      <c r="B15" s="97">
        <f>'Losses Incurred YTD-10'!B12</f>
        <v>160947.19</v>
      </c>
      <c r="C15" s="97">
        <f>'Losses Incurred YTD-10'!C12</f>
        <v>10137987.6</v>
      </c>
      <c r="D15" s="97">
        <f>'Losses Incurred YTD-10'!D12</f>
        <v>1460696.62</v>
      </c>
      <c r="E15" s="90">
        <f>'Losses Incurred YTD-10'!E12</f>
        <v>0</v>
      </c>
      <c r="F15" s="89">
        <f>SUM(B15:E15)+1</f>
        <v>11759632.41</v>
      </c>
    </row>
    <row r="16" spans="1:6" s="79" customFormat="1" ht="15" customHeight="1">
      <c r="A16" s="84" t="s">
        <v>91</v>
      </c>
      <c r="B16" s="97">
        <f>'[2]Loss Expenses Paid YTD-16'!$C$24</f>
        <v>35426.14</v>
      </c>
      <c r="C16" s="97">
        <f>'[2]Loss Expenses Paid YTD-16'!$C$18</f>
        <v>1264036.1600000001</v>
      </c>
      <c r="D16" s="97">
        <f>'[2]Loss Expenses Paid YTD-16'!$C$12</f>
        <v>233170.44</v>
      </c>
      <c r="E16" s="148">
        <v>0</v>
      </c>
      <c r="F16" s="89">
        <f>SUM(B16:E16)-1</f>
        <v>1532631.74</v>
      </c>
    </row>
    <row r="17" spans="1:7" s="79" customFormat="1" ht="15" customHeight="1">
      <c r="A17" s="84" t="s">
        <v>90</v>
      </c>
      <c r="B17" s="97">
        <f>'[2]Loss Expenses Paid YTD-16'!$I$24</f>
        <v>11553.99</v>
      </c>
      <c r="C17" s="97">
        <f>'[2]Loss Expenses Paid YTD-16'!$I$18</f>
        <v>424248.95999999996</v>
      </c>
      <c r="D17" s="97">
        <f>'[2]Loss Expenses Paid YTD-16'!$I$12</f>
        <v>51611.649999999994</v>
      </c>
      <c r="E17" s="148">
        <v>0</v>
      </c>
      <c r="F17" s="89">
        <f aca="true" t="shared" si="0" ref="F17:F23">SUM(B17:E17)</f>
        <v>487414.6</v>
      </c>
      <c r="G17" s="81"/>
    </row>
    <row r="18" spans="1:6" s="79" customFormat="1" ht="15" customHeight="1">
      <c r="A18" s="84" t="s">
        <v>89</v>
      </c>
      <c r="B18" s="97">
        <f>'[1]3Q13 Trial Balance (FS)'!F376</f>
        <v>30569.86</v>
      </c>
      <c r="C18" s="148">
        <v>0</v>
      </c>
      <c r="D18" s="148">
        <v>0</v>
      </c>
      <c r="E18" s="148">
        <v>0</v>
      </c>
      <c r="F18" s="89">
        <f t="shared" si="0"/>
        <v>30569.86</v>
      </c>
    </row>
    <row r="19" spans="1:7" s="79" customFormat="1" ht="15" customHeight="1">
      <c r="A19" s="101" t="s">
        <v>88</v>
      </c>
      <c r="B19" s="97">
        <f>'[1]3Q13 Trial Balance (FS)'!F382</f>
        <v>72549.48000000001</v>
      </c>
      <c r="C19" s="148">
        <v>0</v>
      </c>
      <c r="D19" s="148">
        <v>0</v>
      </c>
      <c r="E19" s="148">
        <v>0</v>
      </c>
      <c r="F19" s="89">
        <f t="shared" si="0"/>
        <v>72549.48000000001</v>
      </c>
      <c r="G19" s="81"/>
    </row>
    <row r="20" spans="1:7" s="79" customFormat="1" ht="15" customHeight="1">
      <c r="A20" s="84" t="s">
        <v>87</v>
      </c>
      <c r="B20" s="97">
        <f>'[1]3Q13 Trial Balance (FS)'!F378</f>
        <v>12375</v>
      </c>
      <c r="C20" s="148">
        <v>0</v>
      </c>
      <c r="D20" s="148">
        <v>0</v>
      </c>
      <c r="E20" s="148">
        <v>0</v>
      </c>
      <c r="F20" s="89">
        <f t="shared" si="0"/>
        <v>12375</v>
      </c>
      <c r="G20" s="81"/>
    </row>
    <row r="21" spans="1:7" s="79" customFormat="1" ht="15" customHeight="1">
      <c r="A21" s="101" t="s">
        <v>86</v>
      </c>
      <c r="B21" s="97">
        <f>'[1]3Q13 Trial Balance (FS)'!F371+1</f>
        <v>716243.1</v>
      </c>
      <c r="C21" s="97">
        <f>'[1]3Q13 Trial Balance (FS)'!F367</f>
        <v>-10016.1</v>
      </c>
      <c r="D21" s="97">
        <f>'[1]3Q13 Trial Balance (FS)'!F363</f>
        <v>-10.5</v>
      </c>
      <c r="E21" s="148">
        <v>0</v>
      </c>
      <c r="F21" s="89">
        <f>SUM(B21:E21)-1</f>
        <v>706215.5</v>
      </c>
      <c r="G21" s="81"/>
    </row>
    <row r="22" spans="1:7" s="79" customFormat="1" ht="15" customHeight="1">
      <c r="A22" s="84" t="s">
        <v>85</v>
      </c>
      <c r="B22" s="97">
        <f>'Earned Incurred YTD-6'!C39</f>
        <v>2776112.690000001</v>
      </c>
      <c r="C22" s="148">
        <v>0</v>
      </c>
      <c r="D22" s="148">
        <v>0</v>
      </c>
      <c r="E22" s="148">
        <v>0</v>
      </c>
      <c r="F22" s="89">
        <f t="shared" si="0"/>
        <v>2776112.690000001</v>
      </c>
      <c r="G22" s="81"/>
    </row>
    <row r="23" spans="1:7" s="79" customFormat="1" ht="15" customHeight="1">
      <c r="A23" s="84" t="s">
        <v>13</v>
      </c>
      <c r="B23" s="89">
        <f>14500.26+11325+28396.2</f>
        <v>54221.46000000001</v>
      </c>
      <c r="C23" s="97">
        <f>148.01-150+11325</f>
        <v>11323.01</v>
      </c>
      <c r="D23" s="90">
        <v>0</v>
      </c>
      <c r="E23" s="90">
        <v>0</v>
      </c>
      <c r="F23" s="89">
        <f t="shared" si="0"/>
        <v>65544.47</v>
      </c>
      <c r="G23" s="81"/>
    </row>
    <row r="24" spans="1:7" s="79" customFormat="1" ht="15" customHeight="1" thickBot="1">
      <c r="A24" s="84" t="s">
        <v>68</v>
      </c>
      <c r="B24" s="88">
        <f>SUM(B15:B23)-1</f>
        <v>3869997.910000001</v>
      </c>
      <c r="C24" s="88">
        <f>SUM(C15:C23)</f>
        <v>11827579.629999999</v>
      </c>
      <c r="D24" s="88">
        <f>SUM(D15:D23)</f>
        <v>1745468.21</v>
      </c>
      <c r="E24" s="94">
        <f>SUM(E15:E23)</f>
        <v>0</v>
      </c>
      <c r="F24" s="87">
        <f>SUM(F15:F23)</f>
        <v>17443045.75</v>
      </c>
      <c r="G24" s="84"/>
    </row>
    <row r="25" spans="1:6" s="79" customFormat="1" ht="15" customHeight="1" thickTop="1">
      <c r="A25" s="84"/>
      <c r="B25" s="80"/>
      <c r="C25" s="80"/>
      <c r="D25" s="80"/>
      <c r="E25" s="90"/>
      <c r="F25" s="89"/>
    </row>
    <row r="26" spans="1:6" s="79" customFormat="1" ht="15" customHeight="1" thickBot="1">
      <c r="A26" s="86" t="s">
        <v>84</v>
      </c>
      <c r="B26" s="88">
        <f>B12-B24</f>
        <v>4538197.72</v>
      </c>
      <c r="C26" s="302">
        <f>C12-C24</f>
        <v>-11942376.629999999</v>
      </c>
      <c r="D26" s="302">
        <f>D12-D24</f>
        <v>-1745573.21</v>
      </c>
      <c r="E26" s="94">
        <f>E12-E24</f>
        <v>0</v>
      </c>
      <c r="F26" s="314">
        <f>SUM(B26:E26)</f>
        <v>-9149752.12</v>
      </c>
    </row>
    <row r="27" spans="1:6" s="79" customFormat="1" ht="15" customHeight="1" thickTop="1">
      <c r="A27" s="84"/>
      <c r="B27" s="80"/>
      <c r="C27" s="80"/>
      <c r="D27" s="80"/>
      <c r="E27" s="89"/>
      <c r="F27" s="89"/>
    </row>
    <row r="28" spans="1:6" s="79" customFormat="1" ht="15" customHeight="1">
      <c r="A28" s="96" t="s">
        <v>83</v>
      </c>
      <c r="B28" s="99"/>
      <c r="C28" s="99"/>
      <c r="D28" s="99"/>
      <c r="E28" s="98"/>
      <c r="F28" s="89"/>
    </row>
    <row r="29" spans="1:6" s="79" customFormat="1" ht="15" customHeight="1">
      <c r="A29" s="84" t="s">
        <v>82</v>
      </c>
      <c r="B29" s="90">
        <v>0</v>
      </c>
      <c r="C29" s="97">
        <f>'Earned Incurred YTD-6'!B50</f>
        <v>11914.7</v>
      </c>
      <c r="D29" s="90">
        <v>0</v>
      </c>
      <c r="E29" s="90">
        <v>0</v>
      </c>
      <c r="F29" s="89">
        <f aca="true" t="shared" si="1" ref="F29:F34">SUM(B29:E29)</f>
        <v>11914.7</v>
      </c>
    </row>
    <row r="30" spans="1:7" s="79" customFormat="1" ht="15" customHeight="1">
      <c r="A30" s="84" t="s">
        <v>81</v>
      </c>
      <c r="B30" s="97">
        <f>'Balance Sheet-1'!C17</f>
        <v>272525.04000000004</v>
      </c>
      <c r="C30" s="282">
        <v>0</v>
      </c>
      <c r="D30" s="282">
        <v>0</v>
      </c>
      <c r="E30" s="282">
        <v>0</v>
      </c>
      <c r="F30" s="89">
        <f t="shared" si="1"/>
        <v>272525.04000000004</v>
      </c>
      <c r="G30" s="81"/>
    </row>
    <row r="31" spans="1:9" s="280" customFormat="1" ht="15" customHeight="1">
      <c r="A31" s="280" t="s">
        <v>178</v>
      </c>
      <c r="B31" s="281">
        <f>499092.17+469594.79+97524+13456-29849</f>
        <v>1049817.96</v>
      </c>
      <c r="C31" s="282">
        <v>0</v>
      </c>
      <c r="D31" s="282">
        <v>0</v>
      </c>
      <c r="E31" s="282">
        <v>0</v>
      </c>
      <c r="F31" s="283">
        <f t="shared" si="1"/>
        <v>1049817.96</v>
      </c>
      <c r="G31" s="284"/>
      <c r="H31" s="285"/>
      <c r="I31" s="286"/>
    </row>
    <row r="32" spans="1:9" s="280" customFormat="1" ht="15" customHeight="1">
      <c r="A32" s="280" t="s">
        <v>179</v>
      </c>
      <c r="B32" s="283">
        <f>-'Income Statement-2'!D38</f>
        <v>487632</v>
      </c>
      <c r="C32" s="282">
        <v>0</v>
      </c>
      <c r="D32" s="282">
        <v>0</v>
      </c>
      <c r="E32" s="282">
        <v>0</v>
      </c>
      <c r="F32" s="283">
        <f t="shared" si="1"/>
        <v>487632</v>
      </c>
      <c r="G32" s="284"/>
      <c r="H32" s="285"/>
      <c r="I32" s="286"/>
    </row>
    <row r="33" spans="1:9" s="280" customFormat="1" ht="15" customHeight="1">
      <c r="A33" s="287" t="s">
        <v>180</v>
      </c>
      <c r="B33" s="283">
        <f>-'Income Statement-2'!D39</f>
        <v>563687</v>
      </c>
      <c r="C33" s="282">
        <v>0</v>
      </c>
      <c r="D33" s="282">
        <v>0</v>
      </c>
      <c r="E33" s="282">
        <v>0</v>
      </c>
      <c r="F33" s="283">
        <f t="shared" si="1"/>
        <v>563687</v>
      </c>
      <c r="G33" s="284"/>
      <c r="H33" s="285"/>
      <c r="I33" s="286"/>
    </row>
    <row r="34" spans="1:8" s="79" customFormat="1" ht="15" customHeight="1">
      <c r="A34" s="84" t="s">
        <v>213</v>
      </c>
      <c r="B34" s="283">
        <f>-'Income Statement-2'!D41</f>
        <v>26161.26</v>
      </c>
      <c r="C34" s="282">
        <v>0</v>
      </c>
      <c r="D34" s="282">
        <v>0</v>
      </c>
      <c r="E34" s="282">
        <v>0</v>
      </c>
      <c r="F34" s="89">
        <f t="shared" si="1"/>
        <v>26161.26</v>
      </c>
      <c r="G34" s="81"/>
      <c r="H34" s="100"/>
    </row>
    <row r="35" spans="1:7" s="79" customFormat="1" ht="15" customHeight="1" thickBot="1">
      <c r="A35" s="84" t="s">
        <v>68</v>
      </c>
      <c r="B35" s="88">
        <f>SUM(B29:B34)</f>
        <v>2399823.26</v>
      </c>
      <c r="C35" s="88">
        <f>SUM(C29:C34)</f>
        <v>11914.7</v>
      </c>
      <c r="D35" s="94">
        <f>SUM(D29:D34)</f>
        <v>0</v>
      </c>
      <c r="E35" s="94">
        <f>SUM(E29:E34)</f>
        <v>0</v>
      </c>
      <c r="F35" s="87">
        <f>SUM(F29:F34)</f>
        <v>2411737.96</v>
      </c>
      <c r="G35" s="81"/>
    </row>
    <row r="36" spans="1:6" s="79" customFormat="1" ht="15" customHeight="1" thickTop="1">
      <c r="A36" s="84"/>
      <c r="B36" s="80"/>
      <c r="C36" s="80"/>
      <c r="D36" s="80"/>
      <c r="E36" s="89"/>
      <c r="F36" s="89"/>
    </row>
    <row r="37" spans="1:6" s="79" customFormat="1" ht="15" customHeight="1">
      <c r="A37" s="96" t="s">
        <v>80</v>
      </c>
      <c r="B37" s="99"/>
      <c r="C37" s="99"/>
      <c r="D37" s="99"/>
      <c r="E37" s="98"/>
      <c r="F37" s="89"/>
    </row>
    <row r="38" spans="1:7" s="79" customFormat="1" ht="15" customHeight="1">
      <c r="A38" s="84" t="s">
        <v>79</v>
      </c>
      <c r="B38" s="97">
        <f>'Earned Incurred YTD-6'!B49</f>
        <v>10831.880000000001</v>
      </c>
      <c r="C38" s="282">
        <v>0</v>
      </c>
      <c r="D38" s="282">
        <v>0</v>
      </c>
      <c r="E38" s="282">
        <v>0</v>
      </c>
      <c r="F38" s="89">
        <f>SUM(B38:E38)</f>
        <v>10831.880000000001</v>
      </c>
      <c r="G38" s="81"/>
    </row>
    <row r="39" spans="1:8" s="79" customFormat="1" ht="15" customHeight="1">
      <c r="A39" s="84" t="s">
        <v>78</v>
      </c>
      <c r="B39" s="282">
        <v>0</v>
      </c>
      <c r="C39" s="283">
        <v>1349793.2</v>
      </c>
      <c r="D39" s="282">
        <v>0</v>
      </c>
      <c r="E39" s="282">
        <v>0</v>
      </c>
      <c r="F39" s="89">
        <f>SUM(B39:E39)</f>
        <v>1349793.2</v>
      </c>
      <c r="G39" s="81"/>
      <c r="H39" s="81"/>
    </row>
    <row r="40" spans="1:7" s="79" customFormat="1" ht="15" customHeight="1" thickBot="1">
      <c r="A40" s="84" t="s">
        <v>68</v>
      </c>
      <c r="B40" s="88">
        <f>SUM(B38:B39)</f>
        <v>10831.880000000001</v>
      </c>
      <c r="C40" s="88">
        <f>SUM(C38:C39)</f>
        <v>1349793.2</v>
      </c>
      <c r="D40" s="94">
        <f>SUM(D38:D39)</f>
        <v>0</v>
      </c>
      <c r="E40" s="94">
        <f>SUM(E38:E39)</f>
        <v>0</v>
      </c>
      <c r="F40" s="87">
        <f>SUM(F38:F39)</f>
        <v>1360625.0799999998</v>
      </c>
      <c r="G40" s="81"/>
    </row>
    <row r="41" spans="1:6" s="79" customFormat="1" ht="15" customHeight="1" thickTop="1">
      <c r="A41" s="84"/>
      <c r="B41" s="80"/>
      <c r="C41" s="80"/>
      <c r="D41" s="80"/>
      <c r="E41" s="89"/>
      <c r="F41" s="90"/>
    </row>
    <row r="42" spans="1:29" s="309" customFormat="1" ht="15">
      <c r="A42" s="303" t="s">
        <v>210</v>
      </c>
      <c r="B42" s="304"/>
      <c r="C42" s="304"/>
      <c r="D42" s="304"/>
      <c r="E42" s="304"/>
      <c r="F42" s="304"/>
      <c r="G42" s="305"/>
      <c r="H42" s="280"/>
      <c r="I42" s="306"/>
      <c r="J42" s="307"/>
      <c r="K42" s="307"/>
      <c r="L42" s="307"/>
      <c r="M42" s="307"/>
      <c r="N42" s="308"/>
      <c r="O42" s="308"/>
      <c r="P42" s="308"/>
      <c r="Q42" s="308"/>
      <c r="R42" s="308"/>
      <c r="S42" s="307"/>
      <c r="T42" s="307"/>
      <c r="U42" s="307"/>
      <c r="V42" s="307"/>
      <c r="W42" s="307"/>
      <c r="X42" s="307"/>
      <c r="Y42" s="307"/>
      <c r="Z42" s="307"/>
      <c r="AA42" s="307"/>
      <c r="AB42" s="307"/>
      <c r="AC42" s="307"/>
    </row>
    <row r="43" spans="1:29" s="309" customFormat="1" ht="15">
      <c r="A43" s="309" t="s">
        <v>181</v>
      </c>
      <c r="B43" s="89">
        <f>'Income Statement-2'!D37</f>
        <v>12591697</v>
      </c>
      <c r="C43" s="90">
        <v>0</v>
      </c>
      <c r="D43" s="90">
        <v>0</v>
      </c>
      <c r="E43" s="90">
        <v>0</v>
      </c>
      <c r="F43" s="89">
        <f>SUM(B43:E43)</f>
        <v>12591697</v>
      </c>
      <c r="G43" s="305"/>
      <c r="H43" s="280"/>
      <c r="I43" s="306"/>
      <c r="J43" s="307"/>
      <c r="K43" s="307"/>
      <c r="L43" s="307"/>
      <c r="M43" s="307"/>
      <c r="N43" s="308"/>
      <c r="O43" s="308"/>
      <c r="P43" s="308"/>
      <c r="Q43" s="308"/>
      <c r="R43" s="308"/>
      <c r="S43" s="307"/>
      <c r="T43" s="307"/>
      <c r="U43" s="307"/>
      <c r="V43" s="307"/>
      <c r="W43" s="307"/>
      <c r="X43" s="307"/>
      <c r="Y43" s="307"/>
      <c r="Z43" s="307"/>
      <c r="AA43" s="307"/>
      <c r="AB43" s="307"/>
      <c r="AC43" s="307"/>
    </row>
    <row r="44" spans="1:18" s="309" customFormat="1" ht="15.75" thickBot="1">
      <c r="A44" s="309" t="s">
        <v>68</v>
      </c>
      <c r="B44" s="88">
        <f>SUM(B43:B43)</f>
        <v>12591697</v>
      </c>
      <c r="C44" s="94">
        <f>SUM(C43:C43)</f>
        <v>0</v>
      </c>
      <c r="D44" s="94">
        <f>SUM(D43:D43)</f>
        <v>0</v>
      </c>
      <c r="E44" s="94">
        <f>SUM(E43:E43)</f>
        <v>0</v>
      </c>
      <c r="F44" s="87">
        <f>SUM(F43)</f>
        <v>12591697</v>
      </c>
      <c r="G44" s="305"/>
      <c r="H44" s="280"/>
      <c r="I44" s="310"/>
      <c r="J44" s="311"/>
      <c r="K44" s="307"/>
      <c r="L44" s="307"/>
      <c r="M44" s="307"/>
      <c r="N44" s="308"/>
      <c r="O44" s="308"/>
      <c r="P44" s="308"/>
      <c r="Q44" s="308"/>
      <c r="R44" s="308"/>
    </row>
    <row r="45" spans="1:6" s="79" customFormat="1" ht="15" customHeight="1" thickTop="1">
      <c r="A45" s="84"/>
      <c r="B45" s="80"/>
      <c r="C45" s="80"/>
      <c r="D45" s="80"/>
      <c r="E45" s="89"/>
      <c r="F45" s="90"/>
    </row>
    <row r="46" spans="1:6" s="79" customFormat="1" ht="15" customHeight="1" thickBot="1">
      <c r="A46" s="96" t="s">
        <v>76</v>
      </c>
      <c r="B46" s="88">
        <f>B26-B35+B40+B44+1</f>
        <v>14740904.34</v>
      </c>
      <c r="C46" s="302">
        <f>C26-C35+C40+C44-1</f>
        <v>-10604499.129999999</v>
      </c>
      <c r="D46" s="302">
        <f>D26-D35+D40+D44</f>
        <v>-1745573.21</v>
      </c>
      <c r="E46" s="94">
        <f>E26-E35+E40+E44</f>
        <v>0</v>
      </c>
      <c r="F46" s="314">
        <f>F26-F35+F40+F44</f>
        <v>2390832.000000002</v>
      </c>
    </row>
    <row r="47" spans="1:6" s="79" customFormat="1" ht="15" customHeight="1" thickTop="1">
      <c r="A47" s="84"/>
      <c r="B47" s="80"/>
      <c r="C47" s="80"/>
      <c r="D47" s="80"/>
      <c r="E47" s="89"/>
      <c r="F47" s="89"/>
    </row>
    <row r="48" spans="1:6" s="79" customFormat="1" ht="15" customHeight="1">
      <c r="A48" s="93" t="s">
        <v>75</v>
      </c>
      <c r="B48" s="92"/>
      <c r="C48" s="92"/>
      <c r="D48" s="92"/>
      <c r="E48" s="89"/>
      <c r="F48" s="89"/>
    </row>
    <row r="49" spans="1:6" s="79" customFormat="1" ht="15" customHeight="1">
      <c r="A49" s="84" t="s">
        <v>19</v>
      </c>
      <c r="B49" s="89">
        <f>'Premiums YTD-8'!B18</f>
        <v>5266068.2700000005</v>
      </c>
      <c r="C49" s="89">
        <f>'Premiums YTD-8'!C18</f>
        <v>316375.45</v>
      </c>
      <c r="D49" s="90">
        <f>'Premiums YTD-8'!D18</f>
        <v>0</v>
      </c>
      <c r="E49" s="90">
        <f>'Premiums YTD-8'!E18</f>
        <v>0</v>
      </c>
      <c r="F49" s="89">
        <f>SUM(B49:E49)-1</f>
        <v>5582442.720000001</v>
      </c>
    </row>
    <row r="50" spans="1:6" s="79" customFormat="1" ht="15" customHeight="1">
      <c r="A50" s="84" t="s">
        <v>72</v>
      </c>
      <c r="B50" s="89">
        <f>'Losses Incurred YTD-10'!B18+'Losses Incurred YTD-10'!B24</f>
        <v>1306939</v>
      </c>
      <c r="C50" s="89">
        <f>'Losses Incurred YTD-10'!C18+'Losses Incurred YTD-10'!C24</f>
        <v>1383412.82</v>
      </c>
      <c r="D50" s="89">
        <f>'Losses Incurred YTD-10'!D18+'Losses Incurred YTD-10'!D24</f>
        <v>87762.79</v>
      </c>
      <c r="E50" s="90">
        <f>'Losses Incurred YTD-10'!E18+'Losses Incurred YTD-10'!E24</f>
        <v>0</v>
      </c>
      <c r="F50" s="89">
        <f>SUM(B50:E50)</f>
        <v>2778114.6100000003</v>
      </c>
    </row>
    <row r="51" spans="1:6" s="79" customFormat="1" ht="15" customHeight="1">
      <c r="A51" s="84" t="s">
        <v>74</v>
      </c>
      <c r="B51" s="89">
        <f>'Loss Expenses YTD-12'!B18</f>
        <v>143378.84</v>
      </c>
      <c r="C51" s="89">
        <f>'Loss Expenses YTD-12'!C18</f>
        <v>152953.06</v>
      </c>
      <c r="D51" s="89">
        <f>'Loss Expenses YTD-12'!D18</f>
        <v>57218.94</v>
      </c>
      <c r="E51" s="90">
        <f>'Loss Expenses YTD-12'!E18</f>
        <v>0</v>
      </c>
      <c r="F51" s="89">
        <f>SUM(B51:E51)</f>
        <v>353550.84</v>
      </c>
    </row>
    <row r="52" spans="1:6" s="79" customFormat="1" ht="15" customHeight="1">
      <c r="A52" s="84" t="s">
        <v>70</v>
      </c>
      <c r="B52" s="89">
        <f>'Earned Incurred YTD-6'!B41</f>
        <v>128332.84999999999</v>
      </c>
      <c r="C52" s="282">
        <v>0</v>
      </c>
      <c r="D52" s="282">
        <v>0</v>
      </c>
      <c r="E52" s="282">
        <v>0</v>
      </c>
      <c r="F52" s="89">
        <f>SUM(B52:E52)</f>
        <v>128332.84999999999</v>
      </c>
    </row>
    <row r="53" spans="1:6" s="79" customFormat="1" ht="15" customHeight="1">
      <c r="A53" s="84" t="s">
        <v>69</v>
      </c>
      <c r="B53" s="89">
        <f>'Earned Incurred YTD-6'!B33</f>
        <v>12883.48</v>
      </c>
      <c r="C53" s="282">
        <v>0</v>
      </c>
      <c r="D53" s="282">
        <v>0</v>
      </c>
      <c r="E53" s="282">
        <v>0</v>
      </c>
      <c r="F53" s="89">
        <f>SUM(B53:E53)</f>
        <v>12883.48</v>
      </c>
    </row>
    <row r="54" spans="1:7" s="79" customFormat="1" ht="15" customHeight="1" thickBot="1">
      <c r="A54" s="95" t="s">
        <v>68</v>
      </c>
      <c r="B54" s="88">
        <f>SUM(B49:B53)</f>
        <v>6857602.44</v>
      </c>
      <c r="C54" s="88">
        <f>SUM(C49:C53)</f>
        <v>1852741.33</v>
      </c>
      <c r="D54" s="88">
        <f>SUM(D49:D53)</f>
        <v>144981.72999999998</v>
      </c>
      <c r="E54" s="94">
        <f>SUM(E49:E53)</f>
        <v>0</v>
      </c>
      <c r="F54" s="87">
        <f>SUM(F49:F53)</f>
        <v>8855324.500000002</v>
      </c>
      <c r="G54" s="81"/>
    </row>
    <row r="55" spans="1:6" s="79" customFormat="1" ht="15" customHeight="1" thickTop="1">
      <c r="A55" s="84"/>
      <c r="B55" s="80"/>
      <c r="C55" s="80"/>
      <c r="D55" s="80"/>
      <c r="E55" s="89"/>
      <c r="F55" s="89"/>
    </row>
    <row r="56" spans="1:6" s="79" customFormat="1" ht="15" customHeight="1">
      <c r="A56" s="93" t="s">
        <v>73</v>
      </c>
      <c r="B56" s="92"/>
      <c r="C56" s="92"/>
      <c r="D56" s="92"/>
      <c r="E56" s="89"/>
      <c r="F56" s="89"/>
    </row>
    <row r="57" spans="1:7" s="79" customFormat="1" ht="15" customHeight="1">
      <c r="A57" s="84" t="s">
        <v>19</v>
      </c>
      <c r="B57" s="90">
        <f>'Premiums YTD-8'!B24</f>
        <v>0</v>
      </c>
      <c r="C57" s="89">
        <f>'Premiums YTD-8'!C24</f>
        <v>5554113.430000001</v>
      </c>
      <c r="D57" s="90">
        <f>'Premiums YTD-8'!D24</f>
        <v>0</v>
      </c>
      <c r="E57" s="90">
        <f>'Premiums YTD-8'!E24</f>
        <v>0</v>
      </c>
      <c r="F57" s="89">
        <f>SUM(B57:E57)</f>
        <v>5554113.430000001</v>
      </c>
      <c r="G57" s="91"/>
    </row>
    <row r="58" spans="1:7" s="79" customFormat="1" ht="15" customHeight="1">
      <c r="A58" s="84" t="s">
        <v>72</v>
      </c>
      <c r="B58" s="90">
        <f>'Losses Incurred YTD-10'!B31</f>
        <v>0</v>
      </c>
      <c r="C58" s="89">
        <f>'Losses Incurred YTD-10'!C31</f>
        <v>7694673.45</v>
      </c>
      <c r="D58" s="89">
        <f>'Losses Incurred YTD-10'!D31</f>
        <v>1502130.07</v>
      </c>
      <c r="E58" s="89">
        <f>'Losses Incurred YTD-10'!E31</f>
        <v>52262.79</v>
      </c>
      <c r="F58" s="89">
        <f>SUM(B58:E58)</f>
        <v>9249066.309999999</v>
      </c>
      <c r="G58" s="81"/>
    </row>
    <row r="59" spans="1:7" s="79" customFormat="1" ht="15" customHeight="1">
      <c r="A59" s="84" t="s">
        <v>71</v>
      </c>
      <c r="B59" s="90">
        <f>'Loss Expenses YTD-12'!B24</f>
        <v>0</v>
      </c>
      <c r="C59" s="89">
        <f>'Loss Expenses YTD-12'!C24</f>
        <v>205071.8</v>
      </c>
      <c r="D59" s="89">
        <f>'Loss Expenses YTD-12'!D24</f>
        <v>142893.41999999998</v>
      </c>
      <c r="E59" s="89">
        <f>'Loss Expenses YTD-12'!E24</f>
        <v>31637.39</v>
      </c>
      <c r="F59" s="89">
        <f>SUM(B59:E59)-1</f>
        <v>379601.61</v>
      </c>
      <c r="G59" s="81"/>
    </row>
    <row r="60" spans="1:9" s="79" customFormat="1" ht="15" customHeight="1">
      <c r="A60" s="84" t="s">
        <v>70</v>
      </c>
      <c r="B60" s="282">
        <v>0</v>
      </c>
      <c r="C60" s="89">
        <f>'Earned Incurred YTD-6'!B42</f>
        <v>150194.15999999997</v>
      </c>
      <c r="D60" s="282">
        <v>0</v>
      </c>
      <c r="E60" s="282">
        <v>0</v>
      </c>
      <c r="F60" s="89">
        <f>SUM(B60:E60)</f>
        <v>150194.15999999997</v>
      </c>
      <c r="G60" s="81"/>
      <c r="H60" s="81"/>
      <c r="I60" s="81"/>
    </row>
    <row r="61" spans="1:7" s="79" customFormat="1" ht="15" customHeight="1">
      <c r="A61" s="84" t="s">
        <v>69</v>
      </c>
      <c r="B61" s="282">
        <v>0</v>
      </c>
      <c r="C61" s="89">
        <f>'Earned Incurred YTD-6'!B34</f>
        <v>39370.68</v>
      </c>
      <c r="D61" s="282">
        <v>0</v>
      </c>
      <c r="E61" s="282">
        <v>0</v>
      </c>
      <c r="F61" s="89">
        <f>SUM(B61:E61)</f>
        <v>39370.68</v>
      </c>
      <c r="G61" s="81"/>
    </row>
    <row r="62" spans="1:6" s="79" customFormat="1" ht="15" customHeight="1" thickBot="1">
      <c r="A62" s="84" t="s">
        <v>68</v>
      </c>
      <c r="B62" s="94">
        <f>SUM(B57:B61)</f>
        <v>0</v>
      </c>
      <c r="C62" s="88">
        <f>SUM(C57:C61)-1</f>
        <v>13643422.520000001</v>
      </c>
      <c r="D62" s="88">
        <f>SUM(D57:D61)</f>
        <v>1645023.49</v>
      </c>
      <c r="E62" s="88">
        <f>SUM(E57:E61)</f>
        <v>83900.18</v>
      </c>
      <c r="F62" s="87">
        <f>SUM(F57:F61)</f>
        <v>15372346.189999998</v>
      </c>
    </row>
    <row r="63" spans="1:6" s="79" customFormat="1" ht="15" customHeight="1" thickTop="1">
      <c r="A63" s="84"/>
      <c r="B63" s="80"/>
      <c r="C63" s="80"/>
      <c r="D63" s="80"/>
      <c r="E63" s="80"/>
      <c r="F63" s="29"/>
    </row>
    <row r="64" spans="1:7" s="79" customFormat="1" ht="15" customHeight="1" thickBot="1">
      <c r="A64" s="86" t="s">
        <v>67</v>
      </c>
      <c r="B64" s="85">
        <f>B46-B54+B62</f>
        <v>7883301.899999999</v>
      </c>
      <c r="C64" s="85">
        <f>C46-C54+C62+1</f>
        <v>1186183.0600000024</v>
      </c>
      <c r="D64" s="85">
        <f>D46-D54+D62-1</f>
        <v>-245532.44999999995</v>
      </c>
      <c r="E64" s="85">
        <f>E46-E54+E62</f>
        <v>83900.18</v>
      </c>
      <c r="F64" s="85">
        <f>F46-F54+F62</f>
        <v>8907853.689999998</v>
      </c>
      <c r="G64" s="81"/>
    </row>
    <row r="65" spans="1:6" s="79" customFormat="1" ht="15" customHeight="1" thickTop="1">
      <c r="A65" s="84"/>
      <c r="B65" s="81"/>
      <c r="C65" s="81"/>
      <c r="D65" s="80"/>
      <c r="E65" s="80"/>
      <c r="F65" s="80"/>
    </row>
    <row r="66" spans="2:6" s="79" customFormat="1" ht="15" customHeight="1">
      <c r="B66" s="81"/>
      <c r="C66" s="81"/>
      <c r="D66" s="80"/>
      <c r="E66" s="80"/>
      <c r="F66" s="80"/>
    </row>
    <row r="67" spans="2:6" s="79" customFormat="1" ht="15" customHeight="1">
      <c r="B67" s="81"/>
      <c r="C67" s="81"/>
      <c r="D67" s="80"/>
      <c r="E67" s="80"/>
      <c r="F67" s="80"/>
    </row>
    <row r="68" spans="2:6" s="79" customFormat="1" ht="15" customHeight="1">
      <c r="B68" s="81"/>
      <c r="C68" s="81"/>
      <c r="D68" s="80"/>
      <c r="E68" s="80"/>
      <c r="F68" s="80"/>
    </row>
    <row r="69" spans="1:6" s="79" customFormat="1" ht="15" customHeight="1">
      <c r="A69" s="83"/>
      <c r="B69" s="82"/>
      <c r="C69" s="82"/>
      <c r="D69" s="80"/>
      <c r="E69" s="80"/>
      <c r="F69" s="80"/>
    </row>
    <row r="70" spans="2:6" s="79" customFormat="1" ht="15" customHeight="1">
      <c r="B70" s="81"/>
      <c r="C70" s="81"/>
      <c r="D70" s="80"/>
      <c r="E70" s="80"/>
      <c r="F70" s="29"/>
    </row>
    <row r="71" spans="2:6" s="79" customFormat="1" ht="15" customHeight="1">
      <c r="B71" s="81"/>
      <c r="C71" s="81"/>
      <c r="D71" s="80"/>
      <c r="E71" s="80"/>
      <c r="F71" s="29"/>
    </row>
    <row r="72" spans="2:6" s="79" customFormat="1" ht="15" customHeight="1">
      <c r="B72" s="81"/>
      <c r="C72" s="81"/>
      <c r="D72" s="80"/>
      <c r="E72" s="80"/>
      <c r="F72" s="29"/>
    </row>
    <row r="73" spans="2:6" s="79" customFormat="1" ht="15" customHeight="1">
      <c r="B73" s="81"/>
      <c r="C73" s="81"/>
      <c r="D73" s="80"/>
      <c r="E73" s="80"/>
      <c r="F73" s="29"/>
    </row>
    <row r="74" spans="2:6" s="79" customFormat="1" ht="15" customHeight="1">
      <c r="B74" s="81"/>
      <c r="C74" s="81"/>
      <c r="D74" s="80"/>
      <c r="E74" s="80"/>
      <c r="F74" s="29"/>
    </row>
    <row r="75" spans="2:6" s="79" customFormat="1" ht="15" customHeight="1">
      <c r="B75" s="81"/>
      <c r="C75" s="81"/>
      <c r="D75" s="80"/>
      <c r="E75" s="80"/>
      <c r="F75" s="29"/>
    </row>
    <row r="76" spans="2:6" s="79" customFormat="1" ht="15" customHeight="1">
      <c r="B76" s="81"/>
      <c r="C76" s="81"/>
      <c r="D76" s="80"/>
      <c r="E76" s="80"/>
      <c r="F76" s="29"/>
    </row>
    <row r="77" spans="2:6" s="79" customFormat="1" ht="15" customHeight="1">
      <c r="B77" s="81"/>
      <c r="C77" s="81"/>
      <c r="D77" s="80"/>
      <c r="E77" s="80"/>
      <c r="F77" s="29"/>
    </row>
    <row r="78" spans="2:6" s="79" customFormat="1" ht="15" customHeight="1">
      <c r="B78" s="81"/>
      <c r="C78" s="81"/>
      <c r="D78" s="80"/>
      <c r="E78" s="80"/>
      <c r="F78" s="29"/>
    </row>
    <row r="79" spans="2:6" s="79" customFormat="1" ht="15" customHeight="1">
      <c r="B79" s="81"/>
      <c r="C79" s="81"/>
      <c r="D79" s="80"/>
      <c r="E79" s="80"/>
      <c r="F79" s="29"/>
    </row>
    <row r="80" spans="2:6" s="79" customFormat="1" ht="15" customHeight="1">
      <c r="B80" s="81"/>
      <c r="C80" s="81"/>
      <c r="D80" s="80"/>
      <c r="E80" s="80"/>
      <c r="F80" s="29"/>
    </row>
    <row r="81" spans="2:6" s="79" customFormat="1" ht="15" customHeight="1">
      <c r="B81" s="81"/>
      <c r="C81" s="81"/>
      <c r="D81" s="80"/>
      <c r="E81" s="80"/>
      <c r="F81" s="29"/>
    </row>
    <row r="82" spans="2:6" s="79" customFormat="1" ht="15" customHeight="1">
      <c r="B82" s="81"/>
      <c r="C82" s="81"/>
      <c r="D82" s="80"/>
      <c r="E82" s="80"/>
      <c r="F82" s="29"/>
    </row>
    <row r="83" spans="2:6" s="79" customFormat="1" ht="15" customHeight="1">
      <c r="B83" s="81"/>
      <c r="C83" s="81"/>
      <c r="D83" s="80"/>
      <c r="E83" s="80"/>
      <c r="F83" s="29"/>
    </row>
    <row r="84" spans="2:6" s="79" customFormat="1" ht="15" customHeight="1">
      <c r="B84" s="81"/>
      <c r="C84" s="81"/>
      <c r="D84" s="80"/>
      <c r="E84" s="80"/>
      <c r="F84" s="29"/>
    </row>
    <row r="85" spans="2:6" s="79" customFormat="1" ht="15" customHeight="1">
      <c r="B85" s="81"/>
      <c r="C85" s="81"/>
      <c r="D85" s="80"/>
      <c r="E85" s="80"/>
      <c r="F85" s="29"/>
    </row>
    <row r="86" spans="2:6" s="79" customFormat="1" ht="15" customHeight="1">
      <c r="B86" s="81"/>
      <c r="C86" s="81"/>
      <c r="D86" s="80"/>
      <c r="E86" s="80"/>
      <c r="F86" s="29"/>
    </row>
    <row r="87" spans="2:6" s="79" customFormat="1" ht="15" customHeight="1">
      <c r="B87" s="81"/>
      <c r="C87" s="81"/>
      <c r="D87" s="80"/>
      <c r="E87" s="80"/>
      <c r="F87" s="29"/>
    </row>
    <row r="88" spans="2:6" s="79" customFormat="1" ht="15" customHeight="1">
      <c r="B88" s="81"/>
      <c r="C88" s="81"/>
      <c r="D88" s="80"/>
      <c r="E88" s="80"/>
      <c r="F88" s="29"/>
    </row>
    <row r="89" spans="2:6" s="79" customFormat="1" ht="15" customHeight="1">
      <c r="B89" s="81"/>
      <c r="C89" s="81"/>
      <c r="D89" s="80"/>
      <c r="E89" s="80"/>
      <c r="F89" s="29"/>
    </row>
    <row r="90" spans="2:6" s="79" customFormat="1" ht="15" customHeight="1">
      <c r="B90" s="81"/>
      <c r="C90" s="81"/>
      <c r="D90" s="80"/>
      <c r="E90" s="80"/>
      <c r="F90" s="29"/>
    </row>
    <row r="91" spans="2:6" s="79" customFormat="1" ht="15" customHeight="1">
      <c r="B91" s="81"/>
      <c r="C91" s="81"/>
      <c r="D91" s="80"/>
      <c r="E91" s="80"/>
      <c r="F91" s="29"/>
    </row>
    <row r="92" spans="2:6" s="79" customFormat="1" ht="15" customHeight="1">
      <c r="B92" s="81"/>
      <c r="C92" s="81"/>
      <c r="D92" s="80"/>
      <c r="E92" s="80"/>
      <c r="F92" s="29"/>
    </row>
    <row r="93" spans="2:6" s="79" customFormat="1" ht="15" customHeight="1">
      <c r="B93" s="81"/>
      <c r="C93" s="81"/>
      <c r="D93" s="80"/>
      <c r="E93" s="80"/>
      <c r="F93" s="29"/>
    </row>
    <row r="94" spans="2:6" s="79" customFormat="1" ht="15" customHeight="1">
      <c r="B94" s="81"/>
      <c r="C94" s="81"/>
      <c r="D94" s="80"/>
      <c r="E94" s="80"/>
      <c r="F94" s="29"/>
    </row>
    <row r="95" spans="2:6" s="79" customFormat="1" ht="15" customHeight="1">
      <c r="B95" s="81"/>
      <c r="C95" s="81"/>
      <c r="D95" s="80"/>
      <c r="E95" s="80"/>
      <c r="F95" s="29"/>
    </row>
    <row r="96" spans="2:6" s="79" customFormat="1" ht="15" customHeight="1">
      <c r="B96" s="81"/>
      <c r="C96" s="81"/>
      <c r="D96" s="80"/>
      <c r="E96" s="80"/>
      <c r="F96" s="29"/>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3" customWidth="1"/>
    <col min="5" max="5" width="15.7109375" style="122" customWidth="1"/>
    <col min="6" max="16384" width="15.7109375" style="70" customWidth="1"/>
  </cols>
  <sheetData>
    <row r="1" spans="1:5" s="167" customFormat="1" ht="30" customHeight="1">
      <c r="A1" s="328" t="s">
        <v>0</v>
      </c>
      <c r="B1" s="329"/>
      <c r="C1" s="329"/>
      <c r="D1" s="330"/>
      <c r="E1" s="168"/>
    </row>
    <row r="2" spans="1:5" s="164" customFormat="1" ht="15" customHeight="1">
      <c r="A2" s="331"/>
      <c r="B2" s="332"/>
      <c r="C2" s="332"/>
      <c r="D2" s="333"/>
      <c r="E2" s="165"/>
    </row>
    <row r="3" spans="1:5" s="164" customFormat="1" ht="15" customHeight="1">
      <c r="A3" s="325" t="s">
        <v>143</v>
      </c>
      <c r="B3" s="326"/>
      <c r="C3" s="326"/>
      <c r="D3" s="327"/>
      <c r="E3" s="165"/>
    </row>
    <row r="4" spans="1:5" s="164" customFormat="1" ht="15" customHeight="1">
      <c r="A4" s="325" t="s">
        <v>142</v>
      </c>
      <c r="B4" s="326"/>
      <c r="C4" s="326"/>
      <c r="D4" s="327"/>
      <c r="E4" s="165"/>
    </row>
    <row r="5" spans="1:5" s="164" customFormat="1" ht="15" customHeight="1">
      <c r="A5" s="325" t="s">
        <v>195</v>
      </c>
      <c r="B5" s="326"/>
      <c r="C5" s="326"/>
      <c r="D5" s="327"/>
      <c r="E5" s="165"/>
    </row>
    <row r="6" spans="1:5" s="164" customFormat="1" ht="15" customHeight="1">
      <c r="A6" s="166"/>
      <c r="B6" s="162"/>
      <c r="C6" s="162"/>
      <c r="D6" s="161"/>
      <c r="E6" s="165"/>
    </row>
    <row r="7" spans="1:5" s="45" customFormat="1" ht="15" customHeight="1">
      <c r="A7" s="163"/>
      <c r="B7" s="162"/>
      <c r="C7" s="162"/>
      <c r="D7" s="161"/>
      <c r="E7" s="46"/>
    </row>
    <row r="8" spans="1:5" s="45" customFormat="1" ht="15" customHeight="1">
      <c r="A8" s="157" t="s">
        <v>141</v>
      </c>
      <c r="B8" s="160" t="s">
        <v>204</v>
      </c>
      <c r="C8" s="159"/>
      <c r="D8" s="158"/>
      <c r="E8" s="46"/>
    </row>
    <row r="9" spans="1:5" s="45" customFormat="1" ht="15" customHeight="1">
      <c r="A9" s="157"/>
      <c r="B9" s="156" t="s">
        <v>65</v>
      </c>
      <c r="C9" s="155"/>
      <c r="D9" s="154"/>
      <c r="E9" s="46"/>
    </row>
    <row r="10" spans="1:5" s="45" customFormat="1" ht="15" customHeight="1">
      <c r="A10" s="153"/>
      <c r="B10" s="152" t="s">
        <v>43</v>
      </c>
      <c r="C10" s="151"/>
      <c r="D10" s="144"/>
      <c r="E10" s="46"/>
    </row>
    <row r="11" spans="1:5" s="45" customFormat="1" ht="15" customHeight="1">
      <c r="A11" s="142" t="s">
        <v>140</v>
      </c>
      <c r="B11" s="139"/>
      <c r="C11" s="14">
        <f>'Premiums QTD-7'!F12</f>
        <v>2829927</v>
      </c>
      <c r="D11" s="144"/>
      <c r="E11" s="46"/>
    </row>
    <row r="12" spans="1:5" s="45" customFormat="1" ht="15" customHeight="1">
      <c r="A12" s="142"/>
      <c r="B12" s="139"/>
      <c r="C12" s="29"/>
      <c r="D12" s="144"/>
      <c r="E12" s="46"/>
    </row>
    <row r="13" spans="1:5" s="45" customFormat="1" ht="15" customHeight="1">
      <c r="A13" s="140" t="s">
        <v>139</v>
      </c>
      <c r="B13" s="139">
        <f>'Premiums QTD-7'!F18</f>
        <v>5582442.720000001</v>
      </c>
      <c r="C13" s="27"/>
      <c r="D13" s="144"/>
      <c r="E13" s="46"/>
    </row>
    <row r="14" spans="1:5" s="45" customFormat="1" ht="15" customHeight="1">
      <c r="A14" s="140" t="s">
        <v>138</v>
      </c>
      <c r="B14" s="136">
        <f>'Premiums QTD-7'!F24</f>
        <v>5503718.6</v>
      </c>
      <c r="C14" s="27"/>
      <c r="D14" s="144"/>
      <c r="E14" s="46"/>
    </row>
    <row r="15" spans="1:5" s="45" customFormat="1" ht="15" customHeight="1">
      <c r="A15" s="140" t="s">
        <v>137</v>
      </c>
      <c r="B15" s="139"/>
      <c r="C15" s="294">
        <f>B14-B13</f>
        <v>-78724.12000000104</v>
      </c>
      <c r="D15" s="144"/>
      <c r="E15" s="46"/>
    </row>
    <row r="16" spans="1:5" s="45" customFormat="1" ht="15" customHeight="1">
      <c r="A16" s="142" t="s">
        <v>136</v>
      </c>
      <c r="B16" s="139"/>
      <c r="C16" s="27"/>
      <c r="D16" s="150">
        <f>C11+C15</f>
        <v>2751202.879999999</v>
      </c>
      <c r="E16" s="46"/>
    </row>
    <row r="17" spans="1:4" s="45" customFormat="1" ht="15" customHeight="1">
      <c r="A17" s="140" t="s">
        <v>135</v>
      </c>
      <c r="B17" s="139"/>
      <c r="C17" s="27">
        <f>'[2]Loss Expenses Paid QTD-15'!E30</f>
        <v>1245967.4</v>
      </c>
      <c r="D17" s="144"/>
    </row>
    <row r="18" spans="1:4" s="45" customFormat="1" ht="15" customHeight="1">
      <c r="A18" s="140" t="s">
        <v>134</v>
      </c>
      <c r="B18" s="139"/>
      <c r="C18" s="135">
        <f>-'[1]3Q13 Trial Balance (FS)'!D282</f>
        <v>17388.78</v>
      </c>
      <c r="D18" s="144"/>
    </row>
    <row r="19" spans="1:5" s="45" customFormat="1" ht="15" customHeight="1">
      <c r="A19" s="142" t="s">
        <v>133</v>
      </c>
      <c r="B19" s="139"/>
      <c r="C19" s="27">
        <f>C17-C18-1</f>
        <v>1228577.6199999999</v>
      </c>
      <c r="D19" s="144"/>
      <c r="E19" s="46"/>
    </row>
    <row r="20" spans="1:5" s="45" customFormat="1" ht="15" customHeight="1">
      <c r="A20" s="140" t="s">
        <v>132</v>
      </c>
      <c r="B20" s="139">
        <f>'Losses Incurred QTD-9'!F18+'Losses Incurred QTD-9'!F24</f>
        <v>2778114.6100000003</v>
      </c>
      <c r="C20" s="27" t="s">
        <v>43</v>
      </c>
      <c r="D20" s="144"/>
      <c r="E20" s="46"/>
    </row>
    <row r="21" spans="1:5" s="45" customFormat="1" ht="15" customHeight="1">
      <c r="A21" s="140" t="s">
        <v>131</v>
      </c>
      <c r="B21" s="136">
        <f>'Losses Incurred QTD-9'!F31</f>
        <v>2963275.99</v>
      </c>
      <c r="C21" s="27"/>
      <c r="D21" s="144"/>
      <c r="E21" s="46"/>
    </row>
    <row r="22" spans="1:5" s="45" customFormat="1" ht="15" customHeight="1">
      <c r="A22" s="140" t="s">
        <v>130</v>
      </c>
      <c r="B22" s="149"/>
      <c r="C22" s="294">
        <f>B20-B21</f>
        <v>-185161.3799999999</v>
      </c>
      <c r="D22" s="144"/>
      <c r="E22" s="46"/>
    </row>
    <row r="23" spans="1:6" s="45" customFormat="1" ht="15" customHeight="1">
      <c r="A23" s="142" t="s">
        <v>129</v>
      </c>
      <c r="B23" s="139"/>
      <c r="C23" s="27"/>
      <c r="D23" s="144">
        <f>C19+C22+1</f>
        <v>1043417.24</v>
      </c>
      <c r="E23" s="27"/>
      <c r="F23" s="53"/>
    </row>
    <row r="24" spans="1:5" s="45" customFormat="1" ht="15" customHeight="1">
      <c r="A24" s="140" t="s">
        <v>128</v>
      </c>
      <c r="B24" s="139"/>
      <c r="C24" s="27">
        <f>'[2]Loss Expenses Paid QTD-15'!C30</f>
        <v>175728.72999999998</v>
      </c>
      <c r="D24" s="144"/>
      <c r="E24" s="148"/>
    </row>
    <row r="25" spans="1:5" s="45" customFormat="1" ht="15" customHeight="1">
      <c r="A25" s="140" t="s">
        <v>127</v>
      </c>
      <c r="B25" s="139"/>
      <c r="C25" s="135">
        <f>'[2]Loss Expenses Paid QTD-15'!I30</f>
        <v>110576.31</v>
      </c>
      <c r="D25" s="144"/>
      <c r="E25" s="148"/>
    </row>
    <row r="26" spans="1:5" s="45" customFormat="1" ht="15" customHeight="1">
      <c r="A26" s="142" t="s">
        <v>126</v>
      </c>
      <c r="B26" s="139"/>
      <c r="C26" s="27">
        <f>C24+C25</f>
        <v>286305.04</v>
      </c>
      <c r="D26" s="144"/>
      <c r="E26" s="27"/>
    </row>
    <row r="27" spans="1:5" s="45" customFormat="1" ht="15" customHeight="1">
      <c r="A27" s="140" t="s">
        <v>125</v>
      </c>
      <c r="B27" s="139">
        <f>'Loss Expenses QTD-11'!F18</f>
        <v>353550.84</v>
      </c>
      <c r="C27" s="27"/>
      <c r="D27" s="144"/>
      <c r="E27" s="148"/>
    </row>
    <row r="28" spans="1:5" s="45" customFormat="1" ht="15" customHeight="1">
      <c r="A28" s="140" t="s">
        <v>124</v>
      </c>
      <c r="B28" s="136">
        <f>'Loss Expenses QTD-11'!F24</f>
        <v>352124.89</v>
      </c>
      <c r="C28" s="27"/>
      <c r="D28" s="144"/>
      <c r="E28" s="27"/>
    </row>
    <row r="29" spans="1:7" s="45" customFormat="1" ht="15" customHeight="1">
      <c r="A29" s="140" t="s">
        <v>123</v>
      </c>
      <c r="B29" s="139"/>
      <c r="C29" s="135">
        <f>B27-B28</f>
        <v>1425.9500000000116</v>
      </c>
      <c r="D29" s="144"/>
      <c r="E29" s="148"/>
      <c r="G29" s="53"/>
    </row>
    <row r="30" spans="1:6" s="45" customFormat="1" ht="15" customHeight="1">
      <c r="A30" s="142" t="s">
        <v>122</v>
      </c>
      <c r="B30" s="139"/>
      <c r="C30" s="27"/>
      <c r="D30" s="141">
        <f>C26+C29</f>
        <v>287730.99</v>
      </c>
      <c r="E30" s="27"/>
      <c r="F30" s="53"/>
    </row>
    <row r="31" spans="1:6" s="45" customFormat="1" ht="15" customHeight="1">
      <c r="A31" s="142" t="s">
        <v>121</v>
      </c>
      <c r="B31" s="139"/>
      <c r="C31" s="27"/>
      <c r="D31" s="145">
        <f>D23+D30</f>
        <v>1331148.23</v>
      </c>
      <c r="E31" s="27"/>
      <c r="F31" s="53"/>
    </row>
    <row r="32" spans="1:6" s="45" customFormat="1" ht="15" customHeight="1">
      <c r="A32" s="140" t="s">
        <v>120</v>
      </c>
      <c r="B32" s="139"/>
      <c r="C32" s="148">
        <v>0</v>
      </c>
      <c r="D32" s="144"/>
      <c r="E32" s="148"/>
      <c r="F32" s="53"/>
    </row>
    <row r="33" spans="1:7" s="45" customFormat="1" ht="15" customHeight="1">
      <c r="A33" s="140" t="s">
        <v>113</v>
      </c>
      <c r="B33" s="139">
        <f>-'[1]3Q13 Trial Balance (FS)'!F118</f>
        <v>12883.48</v>
      </c>
      <c r="C33" s="27"/>
      <c r="D33" s="144"/>
      <c r="E33" s="46"/>
      <c r="G33" s="53"/>
    </row>
    <row r="34" spans="1:7" s="45" customFormat="1" ht="15" customHeight="1">
      <c r="A34" s="140" t="s">
        <v>112</v>
      </c>
      <c r="B34" s="136">
        <v>240.91</v>
      </c>
      <c r="C34" s="27"/>
      <c r="D34" s="144"/>
      <c r="E34" s="46"/>
      <c r="G34" s="53"/>
    </row>
    <row r="35" spans="1:5" s="45" customFormat="1" ht="15" customHeight="1">
      <c r="A35" s="140" t="s">
        <v>119</v>
      </c>
      <c r="B35" s="139"/>
      <c r="C35" s="294">
        <f>B33-B34-1</f>
        <v>12641.57</v>
      </c>
      <c r="D35" s="144"/>
      <c r="E35" s="46"/>
    </row>
    <row r="36" spans="1:6" s="45" customFormat="1" ht="15" customHeight="1">
      <c r="A36" s="142" t="s">
        <v>118</v>
      </c>
      <c r="B36" s="139"/>
      <c r="C36" s="27" t="s">
        <v>43</v>
      </c>
      <c r="D36" s="295">
        <f>C32+C35</f>
        <v>12641.57</v>
      </c>
      <c r="E36" s="46"/>
      <c r="F36" s="53"/>
    </row>
    <row r="37" spans="1:5" s="45" customFormat="1" ht="15" customHeight="1">
      <c r="A37" s="140" t="s">
        <v>117</v>
      </c>
      <c r="B37" s="139"/>
      <c r="C37" s="27">
        <f>'[1]3Q13 Trial Balance (FS)'!D373</f>
        <v>241040.3</v>
      </c>
      <c r="D37" s="144"/>
      <c r="E37" s="46"/>
    </row>
    <row r="38" spans="1:5" s="45" customFormat="1" ht="15" customHeight="1">
      <c r="A38" s="140" t="s">
        <v>116</v>
      </c>
      <c r="B38" s="139"/>
      <c r="C38" s="27">
        <f>'[1]3Q13 Trial Balance (FS)'!D384</f>
        <v>38747.21</v>
      </c>
      <c r="D38" s="144"/>
      <c r="E38" s="147"/>
    </row>
    <row r="39" spans="1:6" s="45" customFormat="1" ht="15" customHeight="1">
      <c r="A39" s="140" t="s">
        <v>115</v>
      </c>
      <c r="B39" s="139"/>
      <c r="C39" s="135">
        <f>'[1]3Q13 Trial Balance (FS)'!D625-C43</f>
        <v>752413.2800000001</v>
      </c>
      <c r="D39" s="144"/>
      <c r="E39" s="147"/>
      <c r="F39" s="46"/>
    </row>
    <row r="40" spans="1:6" s="45" customFormat="1" ht="15" customHeight="1">
      <c r="A40" s="142" t="s">
        <v>114</v>
      </c>
      <c r="B40" s="139"/>
      <c r="C40" s="27">
        <f>SUM(C37:C39)-1</f>
        <v>1032199.7900000002</v>
      </c>
      <c r="D40" s="144"/>
      <c r="E40" s="147"/>
      <c r="F40" s="46"/>
    </row>
    <row r="41" spans="1:5" s="45" customFormat="1" ht="15" customHeight="1">
      <c r="A41" s="140" t="s">
        <v>113</v>
      </c>
      <c r="B41" s="139">
        <f>-'[1]3Q13 Trial Balance (FS)'!F133</f>
        <v>128332.84999999999</v>
      </c>
      <c r="C41" s="27"/>
      <c r="D41" s="144"/>
      <c r="E41" s="147"/>
    </row>
    <row r="42" spans="1:5" s="45" customFormat="1" ht="15" customHeight="1">
      <c r="A42" s="140" t="s">
        <v>112</v>
      </c>
      <c r="B42" s="136">
        <v>147430.66999999998</v>
      </c>
      <c r="C42" s="27" t="s">
        <v>43</v>
      </c>
      <c r="D42" s="144"/>
      <c r="E42" s="46"/>
    </row>
    <row r="43" spans="1:5" s="45" customFormat="1" ht="15" customHeight="1">
      <c r="A43" s="140" t="s">
        <v>111</v>
      </c>
      <c r="B43" s="139"/>
      <c r="C43" s="294">
        <f>+B41-B42</f>
        <v>-19097.819999999992</v>
      </c>
      <c r="D43" s="144"/>
      <c r="E43" s="46"/>
    </row>
    <row r="44" spans="1:6" s="45" customFormat="1" ht="15" customHeight="1">
      <c r="A44" s="142" t="s">
        <v>110</v>
      </c>
      <c r="B44" s="139"/>
      <c r="C44" s="27"/>
      <c r="D44" s="141">
        <f>SUM(C40:C43)</f>
        <v>1013101.9700000002</v>
      </c>
      <c r="E44" s="46"/>
      <c r="F44" s="46"/>
    </row>
    <row r="45" spans="1:6" s="45" customFormat="1" ht="15" customHeight="1">
      <c r="A45" s="142" t="s">
        <v>109</v>
      </c>
      <c r="B45" s="139"/>
      <c r="C45" s="27"/>
      <c r="D45" s="138">
        <f>SUM(D36:D44)</f>
        <v>1025743.5400000002</v>
      </c>
      <c r="E45" s="46"/>
      <c r="F45" s="146"/>
    </row>
    <row r="46" spans="1:6" s="45" customFormat="1" ht="15" customHeight="1">
      <c r="A46" s="142" t="s">
        <v>108</v>
      </c>
      <c r="B46" s="139"/>
      <c r="C46" s="27"/>
      <c r="D46" s="134">
        <f>+D31+D45</f>
        <v>2356891.77</v>
      </c>
      <c r="E46" s="46"/>
      <c r="F46" s="146"/>
    </row>
    <row r="47" spans="1:6" s="45" customFormat="1" ht="15" customHeight="1">
      <c r="A47" s="142" t="s">
        <v>206</v>
      </c>
      <c r="B47" s="139"/>
      <c r="C47" s="27"/>
      <c r="D47" s="145">
        <f>D16-D31-D45</f>
        <v>394311.1099999988</v>
      </c>
      <c r="E47" s="133"/>
      <c r="F47" s="46"/>
    </row>
    <row r="48" spans="1:6" s="45" customFormat="1" ht="15" customHeight="1">
      <c r="A48" s="140" t="s">
        <v>106</v>
      </c>
      <c r="B48" s="139"/>
      <c r="C48" s="27">
        <f>-'[1]3Q13 Trial Balance (FS)'!D253-C51</f>
        <v>12340.33</v>
      </c>
      <c r="D48" s="144"/>
      <c r="E48" s="53"/>
      <c r="F48" s="53"/>
    </row>
    <row r="49" spans="1:5" s="45" customFormat="1" ht="15" customHeight="1">
      <c r="A49" s="140" t="s">
        <v>105</v>
      </c>
      <c r="B49" s="139">
        <f>'[1]3Q13 Trial Balance (FS)'!F38</f>
        <v>10831.880000000001</v>
      </c>
      <c r="C49" s="27"/>
      <c r="D49" s="144"/>
      <c r="E49" s="46"/>
    </row>
    <row r="50" spans="1:5" s="45" customFormat="1" ht="15" customHeight="1">
      <c r="A50" s="140" t="s">
        <v>104</v>
      </c>
      <c r="B50" s="136">
        <v>9990.1</v>
      </c>
      <c r="C50" s="27"/>
      <c r="D50" s="144"/>
      <c r="E50" s="46"/>
    </row>
    <row r="51" spans="1:5" s="45" customFormat="1" ht="15" customHeight="1">
      <c r="A51" s="140" t="s">
        <v>103</v>
      </c>
      <c r="B51" s="139"/>
      <c r="C51" s="135">
        <f>B49-B50</f>
        <v>841.7800000000007</v>
      </c>
      <c r="D51" s="144"/>
      <c r="E51" s="46"/>
    </row>
    <row r="52" spans="1:5" s="45" customFormat="1" ht="15" customHeight="1">
      <c r="A52" s="142" t="s">
        <v>102</v>
      </c>
      <c r="B52" s="139"/>
      <c r="C52" s="27"/>
      <c r="D52" s="141">
        <f>C48+C51</f>
        <v>13182.11</v>
      </c>
      <c r="E52" s="46"/>
    </row>
    <row r="53" spans="1:5" s="45" customFormat="1" ht="15" customHeight="1">
      <c r="A53" s="140" t="s">
        <v>101</v>
      </c>
      <c r="B53" s="139"/>
      <c r="C53" s="27"/>
      <c r="D53" s="143">
        <f>-'[1]3Q13 Trial Balance (FS)'!D260</f>
        <v>-3258.53</v>
      </c>
      <c r="E53" s="46"/>
    </row>
    <row r="54" spans="1:5" s="45" customFormat="1" ht="15" customHeight="1">
      <c r="A54" s="142" t="s">
        <v>100</v>
      </c>
      <c r="B54" s="139"/>
      <c r="C54" s="27"/>
      <c r="D54" s="141">
        <f>SUM(D52:D53)-1</f>
        <v>9922.58</v>
      </c>
      <c r="E54" s="46"/>
    </row>
    <row r="55" spans="1:6" s="45" customFormat="1" ht="15" customHeight="1">
      <c r="A55" s="296" t="s">
        <v>205</v>
      </c>
      <c r="B55" s="139"/>
      <c r="C55" s="27"/>
      <c r="D55" s="138">
        <f>-'[1]3Q13 Trial Balance (FS)'!D264</f>
        <v>6443.22</v>
      </c>
      <c r="E55" s="46"/>
      <c r="F55" s="53"/>
    </row>
    <row r="56" spans="1:6" s="45" customFormat="1" ht="15" customHeight="1">
      <c r="A56" s="137" t="s">
        <v>144</v>
      </c>
      <c r="B56" s="136"/>
      <c r="C56" s="135"/>
      <c r="D56" s="134">
        <f>D47+D54+D55</f>
        <v>410676.9099999988</v>
      </c>
      <c r="E56" s="133"/>
      <c r="F56" s="132"/>
    </row>
    <row r="57" spans="1:5" s="45" customFormat="1" ht="15" customHeight="1">
      <c r="A57" s="127"/>
      <c r="B57" s="128"/>
      <c r="C57" s="128"/>
      <c r="D57" s="131"/>
      <c r="E57" s="46"/>
    </row>
    <row r="58" spans="1:5" s="45" customFormat="1" ht="15" customHeight="1">
      <c r="A58" s="127"/>
      <c r="B58" s="128"/>
      <c r="C58" s="128"/>
      <c r="D58" s="131"/>
      <c r="E58" s="46"/>
    </row>
    <row r="59" spans="1:5" s="45" customFormat="1" ht="15" customHeight="1">
      <c r="A59" s="127"/>
      <c r="B59" s="128"/>
      <c r="C59" s="128"/>
      <c r="D59" s="128"/>
      <c r="E59" s="46"/>
    </row>
    <row r="60" spans="1:5" s="45" customFormat="1" ht="15" customHeight="1">
      <c r="A60" s="127"/>
      <c r="B60" s="128"/>
      <c r="C60" s="128"/>
      <c r="D60" s="128"/>
      <c r="E60" s="46"/>
    </row>
    <row r="61" spans="1:5" s="45" customFormat="1" ht="15" customHeight="1">
      <c r="A61" s="127"/>
      <c r="B61" s="128"/>
      <c r="C61" s="128"/>
      <c r="D61" s="128"/>
      <c r="E61" s="46"/>
    </row>
    <row r="62" spans="1:5" s="45" customFormat="1" ht="15" customHeight="1">
      <c r="A62" s="127"/>
      <c r="B62" s="128"/>
      <c r="C62" s="128"/>
      <c r="D62" s="128"/>
      <c r="E62" s="46"/>
    </row>
    <row r="63" spans="1:5" s="45" customFormat="1" ht="15" customHeight="1">
      <c r="A63" s="127"/>
      <c r="B63" s="128"/>
      <c r="C63" s="128"/>
      <c r="D63" s="128"/>
      <c r="E63" s="46"/>
    </row>
    <row r="64" spans="1:5" s="45" customFormat="1" ht="15" customHeight="1">
      <c r="A64" s="127"/>
      <c r="B64" s="130"/>
      <c r="C64" s="128"/>
      <c r="D64" s="128"/>
      <c r="E64" s="46"/>
    </row>
    <row r="65" spans="1:5" s="45" customFormat="1" ht="15" customHeight="1">
      <c r="A65" s="127"/>
      <c r="B65" s="130"/>
      <c r="C65" s="128"/>
      <c r="D65" s="128"/>
      <c r="E65" s="46"/>
    </row>
    <row r="66" spans="1:5" s="45" customFormat="1" ht="15" customHeight="1">
      <c r="A66" s="127"/>
      <c r="B66" s="130"/>
      <c r="C66" s="128"/>
      <c r="D66" s="128"/>
      <c r="E66" s="46"/>
    </row>
    <row r="67" spans="1:5" s="45" customFormat="1" ht="15" customHeight="1">
      <c r="A67" s="127"/>
      <c r="B67" s="130"/>
      <c r="C67" s="129"/>
      <c r="D67" s="128"/>
      <c r="E67" s="46"/>
    </row>
    <row r="68" spans="1:5" s="45" customFormat="1" ht="15" customHeight="1">
      <c r="A68" s="127"/>
      <c r="B68" s="130"/>
      <c r="C68" s="128"/>
      <c r="D68" s="128"/>
      <c r="E68" s="46"/>
    </row>
    <row r="69" spans="2:5" s="45" customFormat="1" ht="15" customHeight="1">
      <c r="B69" s="130"/>
      <c r="C69" s="128"/>
      <c r="D69" s="128"/>
      <c r="E69" s="46"/>
    </row>
    <row r="70" spans="1:5" s="45" customFormat="1" ht="15" customHeight="1">
      <c r="A70" s="127"/>
      <c r="B70" s="130"/>
      <c r="C70" s="128"/>
      <c r="D70" s="128"/>
      <c r="E70" s="46"/>
    </row>
    <row r="71" spans="1:5" s="45" customFormat="1" ht="15" customHeight="1">
      <c r="A71" s="127"/>
      <c r="B71" s="130"/>
      <c r="C71" s="128"/>
      <c r="D71" s="128"/>
      <c r="E71" s="46"/>
    </row>
    <row r="72" spans="1:5" s="45" customFormat="1" ht="15" customHeight="1">
      <c r="A72" s="127"/>
      <c r="B72" s="125"/>
      <c r="C72" s="128"/>
      <c r="D72" s="128"/>
      <c r="E72" s="46"/>
    </row>
    <row r="73" spans="1:5" s="45" customFormat="1" ht="15" customHeight="1">
      <c r="A73" s="127"/>
      <c r="B73" s="128"/>
      <c r="C73" s="129"/>
      <c r="D73" s="128"/>
      <c r="E73" s="46"/>
    </row>
    <row r="74" spans="1:5" s="45" customFormat="1" ht="15" customHeight="1">
      <c r="A74" s="127"/>
      <c r="B74" s="128"/>
      <c r="C74" s="128"/>
      <c r="D74" s="128"/>
      <c r="E74" s="46"/>
    </row>
    <row r="75" spans="1:5" s="45" customFormat="1" ht="15" customHeight="1">
      <c r="A75" s="127"/>
      <c r="B75" s="128"/>
      <c r="C75" s="128"/>
      <c r="D75" s="128"/>
      <c r="E75" s="46"/>
    </row>
    <row r="76" spans="1:5" s="45" customFormat="1" ht="15" customHeight="1">
      <c r="A76" s="127"/>
      <c r="B76" s="128"/>
      <c r="C76" s="128"/>
      <c r="D76" s="128"/>
      <c r="E76" s="46"/>
    </row>
    <row r="77" spans="1:5" s="45" customFormat="1" ht="15" customHeight="1">
      <c r="A77" s="127"/>
      <c r="B77" s="128"/>
      <c r="C77" s="128"/>
      <c r="D77" s="128"/>
      <c r="E77" s="46"/>
    </row>
    <row r="78" spans="1:5" s="45" customFormat="1" ht="15" customHeight="1">
      <c r="A78" s="127"/>
      <c r="B78" s="128"/>
      <c r="C78" s="128"/>
      <c r="D78" s="128"/>
      <c r="E78" s="46"/>
    </row>
    <row r="79" spans="1:5" s="45" customFormat="1" ht="15" customHeight="1">
      <c r="A79" s="127"/>
      <c r="B79" s="128"/>
      <c r="C79" s="128"/>
      <c r="D79" s="128"/>
      <c r="E79" s="46"/>
    </row>
    <row r="80" spans="1:5" s="45" customFormat="1" ht="15" customHeight="1">
      <c r="A80" s="127"/>
      <c r="B80" s="128"/>
      <c r="C80" s="128"/>
      <c r="D80" s="128"/>
      <c r="E80" s="46"/>
    </row>
    <row r="81" spans="1:5" s="45" customFormat="1" ht="15" customHeight="1">
      <c r="A81" s="127"/>
      <c r="B81" s="128"/>
      <c r="C81" s="128"/>
      <c r="D81" s="128"/>
      <c r="E81" s="46"/>
    </row>
    <row r="82" spans="1:5" s="45" customFormat="1" ht="15" customHeight="1">
      <c r="A82" s="127"/>
      <c r="B82" s="128"/>
      <c r="C82" s="128"/>
      <c r="D82" s="128"/>
      <c r="E82" s="46"/>
    </row>
    <row r="83" spans="1:5" s="45" customFormat="1" ht="15" customHeight="1">
      <c r="A83" s="127"/>
      <c r="B83" s="128"/>
      <c r="C83" s="128"/>
      <c r="D83" s="128"/>
      <c r="E83" s="46"/>
    </row>
    <row r="84" spans="1:5" s="45" customFormat="1" ht="15" customHeight="1">
      <c r="A84" s="127"/>
      <c r="B84" s="128"/>
      <c r="C84" s="128"/>
      <c r="D84" s="128"/>
      <c r="E84" s="46"/>
    </row>
    <row r="85" spans="1:5" s="45" customFormat="1" ht="15" customHeight="1">
      <c r="A85" s="127"/>
      <c r="B85" s="128"/>
      <c r="C85" s="128"/>
      <c r="D85" s="128"/>
      <c r="E85" s="46"/>
    </row>
    <row r="86" spans="1:5" s="45" customFormat="1" ht="15" customHeight="1">
      <c r="A86" s="127"/>
      <c r="B86" s="128"/>
      <c r="C86" s="128"/>
      <c r="D86" s="128"/>
      <c r="E86" s="46"/>
    </row>
    <row r="87" spans="1:5" s="45" customFormat="1" ht="15" customHeight="1">
      <c r="A87" s="127"/>
      <c r="B87" s="128"/>
      <c r="C87" s="128"/>
      <c r="D87" s="128"/>
      <c r="E87" s="46"/>
    </row>
    <row r="88" spans="1:5" s="45" customFormat="1" ht="15" customHeight="1">
      <c r="A88" s="127"/>
      <c r="B88" s="128"/>
      <c r="C88" s="128"/>
      <c r="D88" s="128"/>
      <c r="E88" s="46"/>
    </row>
    <row r="89" spans="1:5" s="45" customFormat="1" ht="15" customHeight="1">
      <c r="A89" s="127"/>
      <c r="B89" s="128"/>
      <c r="C89" s="125"/>
      <c r="D89" s="125"/>
      <c r="E89" s="46"/>
    </row>
    <row r="90" spans="1:5" s="45" customFormat="1" ht="15" customHeight="1">
      <c r="A90" s="127"/>
      <c r="B90" s="128"/>
      <c r="C90" s="125"/>
      <c r="D90" s="125"/>
      <c r="E90" s="46"/>
    </row>
    <row r="91" spans="1:5" s="45" customFormat="1" ht="15" customHeight="1">
      <c r="A91" s="127"/>
      <c r="B91" s="128"/>
      <c r="C91" s="125"/>
      <c r="D91" s="125"/>
      <c r="E91" s="46"/>
    </row>
    <row r="92" spans="1:5" s="45" customFormat="1" ht="15" customHeight="1">
      <c r="A92" s="127"/>
      <c r="B92" s="125"/>
      <c r="C92" s="125"/>
      <c r="D92" s="125"/>
      <c r="E92" s="46"/>
    </row>
    <row r="93" spans="1:5" s="45" customFormat="1" ht="15" customHeight="1">
      <c r="A93" s="127"/>
      <c r="B93" s="125"/>
      <c r="C93" s="125"/>
      <c r="D93" s="125"/>
      <c r="E93" s="46"/>
    </row>
    <row r="94" spans="1:5" s="45" customFormat="1" ht="15" customHeight="1">
      <c r="A94" s="127"/>
      <c r="B94" s="125"/>
      <c r="C94" s="125"/>
      <c r="D94" s="125"/>
      <c r="E94" s="46"/>
    </row>
    <row r="95" spans="1:5" s="45" customFormat="1" ht="15" customHeight="1">
      <c r="A95" s="127"/>
      <c r="B95" s="125"/>
      <c r="C95" s="125"/>
      <c r="D95" s="125"/>
      <c r="E95" s="46"/>
    </row>
    <row r="96" spans="1:5" s="45" customFormat="1" ht="15" customHeight="1">
      <c r="A96" s="127"/>
      <c r="B96" s="125"/>
      <c r="C96" s="125"/>
      <c r="D96" s="125"/>
      <c r="E96" s="46"/>
    </row>
    <row r="97" spans="1:5" s="45" customFormat="1" ht="15" customHeight="1">
      <c r="A97" s="127"/>
      <c r="B97" s="125"/>
      <c r="C97" s="125"/>
      <c r="D97" s="125"/>
      <c r="E97" s="46"/>
    </row>
    <row r="98" spans="1:5" s="45" customFormat="1" ht="15" customHeight="1">
      <c r="A98" s="127"/>
      <c r="B98" s="125"/>
      <c r="C98" s="125"/>
      <c r="D98" s="125"/>
      <c r="E98" s="46"/>
    </row>
    <row r="99" spans="1:5" s="45" customFormat="1" ht="15" customHeight="1">
      <c r="A99" s="127"/>
      <c r="B99" s="125"/>
      <c r="C99" s="125"/>
      <c r="D99" s="125"/>
      <c r="E99" s="46"/>
    </row>
    <row r="100" spans="1:5" s="45" customFormat="1" ht="15" customHeight="1">
      <c r="A100" s="127"/>
      <c r="B100" s="125"/>
      <c r="C100" s="125"/>
      <c r="D100" s="125"/>
      <c r="E100" s="46"/>
    </row>
    <row r="101" spans="1:5" s="45" customFormat="1" ht="15" customHeight="1">
      <c r="A101" s="127"/>
      <c r="B101" s="125"/>
      <c r="C101" s="125"/>
      <c r="D101" s="125"/>
      <c r="E101" s="46"/>
    </row>
    <row r="102" spans="1:5" s="45" customFormat="1" ht="15" customHeight="1">
      <c r="A102" s="127"/>
      <c r="B102" s="125"/>
      <c r="C102" s="125"/>
      <c r="D102" s="125"/>
      <c r="E102" s="46"/>
    </row>
    <row r="103" spans="1:5" s="45" customFormat="1" ht="15" customHeight="1">
      <c r="A103" s="127"/>
      <c r="B103" s="125"/>
      <c r="C103" s="125"/>
      <c r="D103" s="125"/>
      <c r="E103" s="46"/>
    </row>
    <row r="104" spans="1:5" s="45" customFormat="1" ht="15" customHeight="1">
      <c r="A104" s="127"/>
      <c r="B104" s="125"/>
      <c r="C104" s="125"/>
      <c r="D104" s="125"/>
      <c r="E104" s="46"/>
    </row>
    <row r="105" spans="1:5" s="45" customFormat="1" ht="15" customHeight="1">
      <c r="A105" s="127"/>
      <c r="B105" s="125"/>
      <c r="C105" s="125"/>
      <c r="D105" s="125"/>
      <c r="E105" s="46"/>
    </row>
    <row r="106" spans="1:5" s="45" customFormat="1" ht="15" customHeight="1">
      <c r="A106" s="127"/>
      <c r="B106" s="125"/>
      <c r="C106" s="125"/>
      <c r="D106" s="125"/>
      <c r="E106" s="46"/>
    </row>
    <row r="107" spans="1:5" s="45" customFormat="1" ht="15" customHeight="1">
      <c r="A107" s="127"/>
      <c r="B107" s="125"/>
      <c r="C107" s="125"/>
      <c r="D107" s="125"/>
      <c r="E107" s="46"/>
    </row>
    <row r="108" spans="1:5" s="45" customFormat="1" ht="15" customHeight="1">
      <c r="A108" s="127"/>
      <c r="B108" s="125"/>
      <c r="C108" s="125"/>
      <c r="D108" s="125"/>
      <c r="E108" s="46"/>
    </row>
    <row r="109" spans="1:5" s="45" customFormat="1" ht="15" customHeight="1">
      <c r="A109" s="127"/>
      <c r="B109" s="125"/>
      <c r="C109" s="125"/>
      <c r="D109" s="125"/>
      <c r="E109" s="46"/>
    </row>
    <row r="110" spans="1:5" s="45" customFormat="1" ht="15" customHeight="1">
      <c r="A110" s="127"/>
      <c r="B110" s="125"/>
      <c r="C110" s="125"/>
      <c r="D110" s="125"/>
      <c r="E110" s="46"/>
    </row>
    <row r="111" spans="1:5" s="45" customFormat="1" ht="15" customHeight="1">
      <c r="A111" s="127"/>
      <c r="B111" s="125"/>
      <c r="C111" s="125"/>
      <c r="D111" s="125"/>
      <c r="E111" s="46"/>
    </row>
    <row r="112" spans="1:5" s="45" customFormat="1" ht="15" customHeight="1">
      <c r="A112" s="127"/>
      <c r="B112" s="125"/>
      <c r="C112" s="125"/>
      <c r="D112" s="125"/>
      <c r="E112" s="46"/>
    </row>
    <row r="113" spans="1:5" s="45" customFormat="1" ht="15" customHeight="1">
      <c r="A113" s="127"/>
      <c r="B113" s="125"/>
      <c r="C113" s="125"/>
      <c r="D113" s="125"/>
      <c r="E113" s="46"/>
    </row>
    <row r="114" spans="1:5" s="45" customFormat="1" ht="15" customHeight="1">
      <c r="A114" s="127"/>
      <c r="B114" s="125"/>
      <c r="C114" s="125"/>
      <c r="D114" s="125"/>
      <c r="E114" s="46"/>
    </row>
    <row r="115" spans="1:5" s="45" customFormat="1" ht="15" customHeight="1">
      <c r="A115" s="127"/>
      <c r="B115" s="125"/>
      <c r="C115" s="125"/>
      <c r="D115" s="125"/>
      <c r="E115" s="46"/>
    </row>
    <row r="116" spans="1:5" s="45" customFormat="1" ht="15" customHeight="1">
      <c r="A116" s="127"/>
      <c r="B116" s="125"/>
      <c r="C116" s="125"/>
      <c r="D116" s="125"/>
      <c r="E116" s="46"/>
    </row>
    <row r="117" spans="1:5" s="45" customFormat="1" ht="15" customHeight="1">
      <c r="A117" s="127"/>
      <c r="B117" s="125"/>
      <c r="C117" s="125"/>
      <c r="D117" s="125"/>
      <c r="E117" s="46"/>
    </row>
    <row r="118" spans="1:5" s="45" customFormat="1" ht="15" customHeight="1">
      <c r="A118" s="127"/>
      <c r="B118" s="125"/>
      <c r="C118" s="125"/>
      <c r="D118" s="125"/>
      <c r="E118" s="46"/>
    </row>
    <row r="119" spans="1:5" s="45" customFormat="1" ht="15" customHeight="1">
      <c r="A119" s="127"/>
      <c r="B119" s="125"/>
      <c r="C119" s="125"/>
      <c r="D119" s="125"/>
      <c r="E119" s="46"/>
    </row>
    <row r="120" spans="1:5" s="45" customFormat="1" ht="15" customHeight="1">
      <c r="A120" s="127"/>
      <c r="B120" s="125"/>
      <c r="C120" s="125"/>
      <c r="D120" s="125"/>
      <c r="E120" s="46"/>
    </row>
    <row r="121" spans="1:5" s="45" customFormat="1" ht="15" customHeight="1">
      <c r="A121" s="126"/>
      <c r="B121" s="125"/>
      <c r="C121" s="125"/>
      <c r="D121" s="125"/>
      <c r="E121" s="46"/>
    </row>
    <row r="122" spans="1:5" s="45" customFormat="1" ht="15" customHeight="1">
      <c r="A122" s="126"/>
      <c r="B122" s="125"/>
      <c r="C122" s="125"/>
      <c r="D122" s="125"/>
      <c r="E122" s="46"/>
    </row>
    <row r="123" spans="1:5" s="45" customFormat="1" ht="15" customHeight="1">
      <c r="A123" s="126"/>
      <c r="B123" s="125"/>
      <c r="C123" s="125"/>
      <c r="D123" s="125"/>
      <c r="E123" s="46"/>
    </row>
    <row r="124" spans="1:5" s="45" customFormat="1" ht="15" customHeight="1">
      <c r="A124" s="126"/>
      <c r="B124" s="125"/>
      <c r="C124" s="125"/>
      <c r="D124" s="125"/>
      <c r="E124" s="46"/>
    </row>
    <row r="125" spans="1:5" s="45" customFormat="1" ht="15" customHeight="1">
      <c r="A125" s="126"/>
      <c r="B125" s="125"/>
      <c r="C125" s="125"/>
      <c r="D125" s="125"/>
      <c r="E125" s="46"/>
    </row>
    <row r="126" spans="1:5" s="45" customFormat="1" ht="15" customHeight="1">
      <c r="A126" s="126"/>
      <c r="B126" s="125"/>
      <c r="C126" s="125"/>
      <c r="D126" s="125"/>
      <c r="E126" s="46"/>
    </row>
    <row r="127" spans="1:5" s="45" customFormat="1" ht="15" customHeight="1">
      <c r="A127" s="126"/>
      <c r="B127" s="125"/>
      <c r="C127" s="125"/>
      <c r="D127" s="125"/>
      <c r="E127" s="46"/>
    </row>
    <row r="128" ht="15" customHeight="1">
      <c r="A128" s="124"/>
    </row>
    <row r="129" s="70" customFormat="1" ht="15" customHeight="1">
      <c r="A129" s="124"/>
    </row>
    <row r="130" s="70" customFormat="1" ht="15" customHeight="1">
      <c r="A130" s="124"/>
    </row>
    <row r="131" s="70" customFormat="1" ht="15" customHeight="1">
      <c r="A131" s="124"/>
    </row>
    <row r="132" s="70" customFormat="1" ht="15" customHeight="1">
      <c r="A132" s="124"/>
    </row>
    <row r="133" s="70" customFormat="1" ht="15" customHeight="1">
      <c r="A133" s="124"/>
    </row>
    <row r="134" s="70" customFormat="1" ht="15" customHeight="1">
      <c r="A134" s="124"/>
    </row>
    <row r="135" s="70" customFormat="1" ht="15" customHeight="1">
      <c r="A135" s="124"/>
    </row>
    <row r="136" s="70" customFormat="1" ht="15" customHeight="1">
      <c r="A136" s="124"/>
    </row>
    <row r="137" s="70" customFormat="1" ht="15" customHeight="1">
      <c r="A137" s="124"/>
    </row>
    <row r="138" s="70" customFormat="1" ht="15" customHeight="1">
      <c r="A138" s="124"/>
    </row>
    <row r="139" s="70" customFormat="1" ht="15" customHeight="1">
      <c r="A139" s="124"/>
    </row>
    <row r="140" s="70" customFormat="1" ht="15" customHeight="1">
      <c r="A140" s="124"/>
    </row>
    <row r="141" s="70" customFormat="1" ht="15" customHeight="1">
      <c r="A141" s="124"/>
    </row>
    <row r="142" s="70" customFormat="1" ht="15" customHeight="1">
      <c r="A142" s="124"/>
    </row>
    <row r="143" s="70" customFormat="1" ht="15" customHeight="1">
      <c r="A143" s="124"/>
    </row>
    <row r="144" s="70" customFormat="1" ht="15" customHeight="1">
      <c r="A144" s="124"/>
    </row>
    <row r="145" s="70" customFormat="1" ht="15" customHeight="1">
      <c r="A145" s="124"/>
    </row>
    <row r="146" s="70" customFormat="1" ht="15" customHeight="1">
      <c r="A146" s="124"/>
    </row>
    <row r="147" s="70" customFormat="1" ht="15" customHeight="1">
      <c r="A147" s="124"/>
    </row>
    <row r="148" s="70" customFormat="1" ht="15" customHeight="1">
      <c r="A148" s="124"/>
    </row>
    <row r="149" s="70" customFormat="1" ht="15" customHeight="1">
      <c r="A149" s="124"/>
    </row>
    <row r="150" s="70" customFormat="1" ht="15" customHeight="1">
      <c r="A150" s="124"/>
    </row>
    <row r="151" s="70" customFormat="1" ht="15" customHeight="1">
      <c r="A151" s="124"/>
    </row>
    <row r="152" s="70" customFormat="1" ht="15" customHeight="1">
      <c r="A152" s="124"/>
    </row>
    <row r="153" s="70" customFormat="1" ht="15" customHeight="1">
      <c r="A153" s="124"/>
    </row>
    <row r="154" s="70" customFormat="1" ht="15" customHeight="1">
      <c r="A154" s="124"/>
    </row>
    <row r="155" s="70" customFormat="1" ht="15" customHeight="1">
      <c r="A155" s="124"/>
    </row>
    <row r="156" s="70" customFormat="1" ht="15" customHeight="1">
      <c r="A156" s="124"/>
    </row>
    <row r="157" s="70" customFormat="1" ht="15" customHeight="1">
      <c r="A157" s="124"/>
    </row>
    <row r="158" s="70" customFormat="1" ht="15" customHeight="1">
      <c r="A158" s="124"/>
    </row>
    <row r="159" s="70" customFormat="1" ht="15" customHeight="1">
      <c r="A159" s="124"/>
    </row>
    <row r="160" s="70" customFormat="1" ht="15" customHeight="1">
      <c r="A160" s="124"/>
    </row>
    <row r="161" s="70" customFormat="1" ht="15" customHeight="1">
      <c r="A161" s="124"/>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3" customWidth="1"/>
    <col min="5" max="5" width="15.7109375" style="122" customWidth="1"/>
    <col min="6" max="16384" width="15.7109375" style="70" customWidth="1"/>
  </cols>
  <sheetData>
    <row r="1" spans="1:5" s="167" customFormat="1" ht="30" customHeight="1">
      <c r="A1" s="328" t="s">
        <v>0</v>
      </c>
      <c r="B1" s="329"/>
      <c r="C1" s="329"/>
      <c r="D1" s="330"/>
      <c r="E1" s="168"/>
    </row>
    <row r="2" spans="1:5" s="164" customFormat="1" ht="15" customHeight="1">
      <c r="A2" s="331"/>
      <c r="B2" s="332"/>
      <c r="C2" s="332"/>
      <c r="D2" s="333"/>
      <c r="E2" s="165"/>
    </row>
    <row r="3" spans="1:5" s="164" customFormat="1" ht="15" customHeight="1">
      <c r="A3" s="325" t="s">
        <v>143</v>
      </c>
      <c r="B3" s="326"/>
      <c r="C3" s="326"/>
      <c r="D3" s="327"/>
      <c r="E3" s="165"/>
    </row>
    <row r="4" spans="1:5" s="164" customFormat="1" ht="15" customHeight="1">
      <c r="A4" s="325" t="s">
        <v>142</v>
      </c>
      <c r="B4" s="326"/>
      <c r="C4" s="326"/>
      <c r="D4" s="327"/>
      <c r="E4" s="165"/>
    </row>
    <row r="5" spans="1:5" s="164" customFormat="1" ht="15" customHeight="1">
      <c r="A5" s="325" t="s">
        <v>196</v>
      </c>
      <c r="B5" s="326"/>
      <c r="C5" s="326"/>
      <c r="D5" s="327"/>
      <c r="E5" s="165"/>
    </row>
    <row r="6" spans="1:5" s="164" customFormat="1" ht="15" customHeight="1">
      <c r="A6" s="166"/>
      <c r="B6" s="162"/>
      <c r="C6" s="162"/>
      <c r="D6" s="161"/>
      <c r="E6" s="165"/>
    </row>
    <row r="7" spans="1:5" s="45" customFormat="1" ht="15" customHeight="1">
      <c r="A7" s="163"/>
      <c r="B7" s="162"/>
      <c r="C7" s="162"/>
      <c r="D7" s="161"/>
      <c r="E7" s="46"/>
    </row>
    <row r="8" spans="1:5" s="45" customFormat="1" ht="15" customHeight="1">
      <c r="A8" s="157" t="s">
        <v>141</v>
      </c>
      <c r="B8" s="160" t="s">
        <v>204</v>
      </c>
      <c r="C8" s="159"/>
      <c r="D8" s="158"/>
      <c r="E8" s="46"/>
    </row>
    <row r="9" spans="1:5" s="45" customFormat="1" ht="15" customHeight="1">
      <c r="A9" s="157"/>
      <c r="B9" s="156" t="s">
        <v>64</v>
      </c>
      <c r="C9" s="155"/>
      <c r="D9" s="154"/>
      <c r="E9" s="46"/>
    </row>
    <row r="10" spans="1:5" s="45" customFormat="1" ht="15" customHeight="1">
      <c r="A10" s="153"/>
      <c r="B10" s="152" t="s">
        <v>43</v>
      </c>
      <c r="C10" s="151"/>
      <c r="D10" s="144"/>
      <c r="E10" s="46"/>
    </row>
    <row r="11" spans="1:5" s="45" customFormat="1" ht="15" customHeight="1">
      <c r="A11" s="142" t="s">
        <v>140</v>
      </c>
      <c r="B11" s="139"/>
      <c r="C11" s="14">
        <f>'Premiums YTD-8'!F12</f>
        <v>8234280</v>
      </c>
      <c r="D11" s="144"/>
      <c r="E11" s="46"/>
    </row>
    <row r="12" spans="1:5" s="45" customFormat="1" ht="15" customHeight="1">
      <c r="A12" s="142"/>
      <c r="B12" s="139"/>
      <c r="C12" s="29"/>
      <c r="D12" s="144"/>
      <c r="E12" s="46"/>
    </row>
    <row r="13" spans="1:5" s="45" customFormat="1" ht="15" customHeight="1">
      <c r="A13" s="140" t="s">
        <v>139</v>
      </c>
      <c r="B13" s="139">
        <f>'Premiums YTD-8'!F18</f>
        <v>5582442.720000001</v>
      </c>
      <c r="C13" s="27"/>
      <c r="D13" s="144"/>
      <c r="E13" s="46"/>
    </row>
    <row r="14" spans="1:5" s="45" customFormat="1" ht="15" customHeight="1">
      <c r="A14" s="140" t="s">
        <v>138</v>
      </c>
      <c r="B14" s="136">
        <f>'Premiums YTD-8'!F24</f>
        <v>5554113.430000001</v>
      </c>
      <c r="C14" s="27"/>
      <c r="D14" s="144"/>
      <c r="E14" s="46"/>
    </row>
    <row r="15" spans="1:5" s="45" customFormat="1" ht="15" customHeight="1">
      <c r="A15" s="140" t="s">
        <v>137</v>
      </c>
      <c r="B15" s="139"/>
      <c r="C15" s="294">
        <f>B14-B13-1</f>
        <v>-28330.290000000037</v>
      </c>
      <c r="D15" s="144"/>
      <c r="E15" s="46"/>
    </row>
    <row r="16" spans="1:5" s="45" customFormat="1" ht="15" customHeight="1">
      <c r="A16" s="142" t="s">
        <v>136</v>
      </c>
      <c r="B16" s="139"/>
      <c r="C16" s="27"/>
      <c r="D16" s="150">
        <f>C11+C15</f>
        <v>8205949.71</v>
      </c>
      <c r="E16" s="46"/>
    </row>
    <row r="17" spans="1:4" s="45" customFormat="1" ht="15" customHeight="1">
      <c r="A17" s="140" t="s">
        <v>135</v>
      </c>
      <c r="B17" s="139"/>
      <c r="C17" s="27">
        <f>'[2]Loss Expenses Paid YTD-16'!E30</f>
        <v>11783527.32</v>
      </c>
      <c r="D17" s="144"/>
    </row>
    <row r="18" spans="1:4" s="45" customFormat="1" ht="15" customHeight="1">
      <c r="A18" s="140" t="s">
        <v>134</v>
      </c>
      <c r="B18" s="139"/>
      <c r="C18" s="135">
        <f>-'[1]3Q13 Trial Balance (FS)'!F282+1</f>
        <v>23894.91</v>
      </c>
      <c r="D18" s="144"/>
    </row>
    <row r="19" spans="1:5" s="45" customFormat="1" ht="15" customHeight="1">
      <c r="A19" s="142" t="s">
        <v>133</v>
      </c>
      <c r="B19" s="139"/>
      <c r="C19" s="27">
        <f>C17-C18</f>
        <v>11759632.41</v>
      </c>
      <c r="D19" s="144"/>
      <c r="E19" s="46"/>
    </row>
    <row r="20" spans="1:5" s="45" customFormat="1" ht="15" customHeight="1">
      <c r="A20" s="140" t="s">
        <v>132</v>
      </c>
      <c r="B20" s="139">
        <f>'Losses Incurred YTD-10'!F18+'Losses Incurred YTD-10'!F24</f>
        <v>2778114.6100000003</v>
      </c>
      <c r="C20" s="27" t="s">
        <v>43</v>
      </c>
      <c r="D20" s="144"/>
      <c r="E20" s="46"/>
    </row>
    <row r="21" spans="1:5" s="45" customFormat="1" ht="15" customHeight="1">
      <c r="A21" s="140" t="s">
        <v>131</v>
      </c>
      <c r="B21" s="136">
        <f>'Losses Incurred YTD-10'!F31</f>
        <v>9249066.31</v>
      </c>
      <c r="C21" s="27"/>
      <c r="D21" s="144"/>
      <c r="E21" s="46"/>
    </row>
    <row r="22" spans="1:5" s="45" customFormat="1" ht="15" customHeight="1">
      <c r="A22" s="140" t="s">
        <v>130</v>
      </c>
      <c r="B22" s="149"/>
      <c r="C22" s="294">
        <f>B20-B21+1</f>
        <v>-6470950.7</v>
      </c>
      <c r="D22" s="144"/>
      <c r="E22" s="46"/>
    </row>
    <row r="23" spans="1:6" s="45" customFormat="1" ht="15" customHeight="1">
      <c r="A23" s="142" t="s">
        <v>129</v>
      </c>
      <c r="B23" s="139"/>
      <c r="C23" s="27"/>
      <c r="D23" s="144">
        <f>C19+C22-1</f>
        <v>5288680.71</v>
      </c>
      <c r="E23" s="27"/>
      <c r="F23" s="53"/>
    </row>
    <row r="24" spans="1:5" s="45" customFormat="1" ht="15" customHeight="1">
      <c r="A24" s="140" t="s">
        <v>128</v>
      </c>
      <c r="B24" s="139"/>
      <c r="C24" s="27">
        <f>'[2]Loss Expenses Paid YTD-16'!C30</f>
        <v>1532631.74</v>
      </c>
      <c r="D24" s="144"/>
      <c r="E24" s="148"/>
    </row>
    <row r="25" spans="1:5" s="45" customFormat="1" ht="15" customHeight="1">
      <c r="A25" s="140" t="s">
        <v>127</v>
      </c>
      <c r="B25" s="139"/>
      <c r="C25" s="135">
        <f>'[2]Loss Expenses Paid YTD-16'!I30</f>
        <v>487414.6</v>
      </c>
      <c r="D25" s="144"/>
      <c r="E25" s="148"/>
    </row>
    <row r="26" spans="1:5" s="45" customFormat="1" ht="15" customHeight="1">
      <c r="A26" s="142" t="s">
        <v>126</v>
      </c>
      <c r="B26" s="139"/>
      <c r="C26" s="27">
        <f>C24+C25+1</f>
        <v>2020047.3399999999</v>
      </c>
      <c r="D26" s="144"/>
      <c r="E26" s="27"/>
    </row>
    <row r="27" spans="1:5" s="45" customFormat="1" ht="15" customHeight="1">
      <c r="A27" s="140" t="s">
        <v>125</v>
      </c>
      <c r="B27" s="139">
        <f>'Loss Expenses YTD-12'!F18</f>
        <v>353550.84</v>
      </c>
      <c r="C27" s="27"/>
      <c r="D27" s="144"/>
      <c r="E27" s="148"/>
    </row>
    <row r="28" spans="1:5" s="45" customFormat="1" ht="15" customHeight="1">
      <c r="A28" s="140" t="s">
        <v>124</v>
      </c>
      <c r="B28" s="136">
        <f>'Loss Expenses YTD-12'!F24</f>
        <v>379601.61</v>
      </c>
      <c r="C28" s="27"/>
      <c r="D28" s="144"/>
      <c r="E28" s="27"/>
    </row>
    <row r="29" spans="1:7" s="45" customFormat="1" ht="15" customHeight="1">
      <c r="A29" s="140" t="s">
        <v>123</v>
      </c>
      <c r="B29" s="139"/>
      <c r="C29" s="294">
        <f>B27-B28</f>
        <v>-26050.76999999996</v>
      </c>
      <c r="D29" s="144"/>
      <c r="E29" s="148"/>
      <c r="G29" s="53"/>
    </row>
    <row r="30" spans="1:6" s="45" customFormat="1" ht="15" customHeight="1">
      <c r="A30" s="142" t="s">
        <v>122</v>
      </c>
      <c r="B30" s="139"/>
      <c r="C30" s="27"/>
      <c r="D30" s="141">
        <f>C26+C29-1</f>
        <v>1993995.5699999998</v>
      </c>
      <c r="E30" s="27"/>
      <c r="F30" s="53"/>
    </row>
    <row r="31" spans="1:6" s="45" customFormat="1" ht="15" customHeight="1">
      <c r="A31" s="142" t="s">
        <v>121</v>
      </c>
      <c r="B31" s="139"/>
      <c r="C31" s="27"/>
      <c r="D31" s="145">
        <f>D23+D30+1</f>
        <v>7282677.279999999</v>
      </c>
      <c r="E31" s="27"/>
      <c r="F31" s="53"/>
    </row>
    <row r="32" spans="1:6" s="45" customFormat="1" ht="15" customHeight="1">
      <c r="A32" s="140" t="s">
        <v>120</v>
      </c>
      <c r="B32" s="139"/>
      <c r="C32" s="27">
        <f>14500.26+148.01-150+22650+28396.2</f>
        <v>65544.47</v>
      </c>
      <c r="D32" s="144"/>
      <c r="E32" s="148"/>
      <c r="F32" s="53"/>
    </row>
    <row r="33" spans="1:7" s="45" customFormat="1" ht="15" customHeight="1">
      <c r="A33" s="140" t="s">
        <v>113</v>
      </c>
      <c r="B33" s="139">
        <f>-'[1]3Q13 Trial Balance (FS)'!F118</f>
        <v>12883.48</v>
      </c>
      <c r="C33" s="27"/>
      <c r="D33" s="144"/>
      <c r="E33" s="46"/>
      <c r="G33" s="53"/>
    </row>
    <row r="34" spans="1:7" s="45" customFormat="1" ht="15" customHeight="1">
      <c r="A34" s="140" t="s">
        <v>112</v>
      </c>
      <c r="B34" s="136">
        <v>39370.68</v>
      </c>
      <c r="C34" s="27"/>
      <c r="D34" s="144"/>
      <c r="E34" s="46"/>
      <c r="G34" s="53"/>
    </row>
    <row r="35" spans="1:5" s="45" customFormat="1" ht="15" customHeight="1">
      <c r="A35" s="140" t="s">
        <v>119</v>
      </c>
      <c r="B35" s="139"/>
      <c r="C35" s="294">
        <f>B33-B34-1</f>
        <v>-26488.2</v>
      </c>
      <c r="D35" s="144"/>
      <c r="E35" s="46"/>
    </row>
    <row r="36" spans="1:6" s="45" customFormat="1" ht="15" customHeight="1">
      <c r="A36" s="142" t="s">
        <v>118</v>
      </c>
      <c r="B36" s="139"/>
      <c r="C36" s="27" t="s">
        <v>43</v>
      </c>
      <c r="D36" s="295">
        <f>C32+C35</f>
        <v>39056.270000000004</v>
      </c>
      <c r="E36" s="46"/>
      <c r="F36" s="53"/>
    </row>
    <row r="37" spans="1:5" s="45" customFormat="1" ht="15" customHeight="1">
      <c r="A37" s="140" t="s">
        <v>117</v>
      </c>
      <c r="B37" s="139"/>
      <c r="C37" s="27">
        <f>'[1]3Q13 Trial Balance (FS)'!F373</f>
        <v>706215.5</v>
      </c>
      <c r="D37" s="144"/>
      <c r="E37" s="46"/>
    </row>
    <row r="38" spans="1:5" s="45" customFormat="1" ht="15" customHeight="1">
      <c r="A38" s="140" t="s">
        <v>116</v>
      </c>
      <c r="B38" s="139"/>
      <c r="C38" s="27">
        <f>'[1]3Q13 Trial Balance (FS)'!F384</f>
        <v>115494.34</v>
      </c>
      <c r="D38" s="144"/>
      <c r="E38" s="147"/>
    </row>
    <row r="39" spans="1:6" s="45" customFormat="1" ht="15" customHeight="1">
      <c r="A39" s="140" t="s">
        <v>115</v>
      </c>
      <c r="B39" s="139"/>
      <c r="C39" s="135">
        <f>'[1]3Q13 Trial Balance (FS)'!F625-C43-1</f>
        <v>2776112.690000001</v>
      </c>
      <c r="D39" s="144"/>
      <c r="E39" s="147"/>
      <c r="F39" s="46"/>
    </row>
    <row r="40" spans="1:6" s="45" customFormat="1" ht="15" customHeight="1">
      <c r="A40" s="142" t="s">
        <v>114</v>
      </c>
      <c r="B40" s="139"/>
      <c r="C40" s="27">
        <f>SUM(C37:C39)</f>
        <v>3597822.5300000007</v>
      </c>
      <c r="D40" s="144"/>
      <c r="E40" s="147"/>
      <c r="F40" s="46"/>
    </row>
    <row r="41" spans="1:5" s="45" customFormat="1" ht="15" customHeight="1">
      <c r="A41" s="140" t="s">
        <v>113</v>
      </c>
      <c r="B41" s="139">
        <f>-'[1]3Q13 Trial Balance (FS)'!F133</f>
        <v>128332.84999999999</v>
      </c>
      <c r="C41" s="27"/>
      <c r="D41" s="144"/>
      <c r="E41" s="147"/>
    </row>
    <row r="42" spans="1:5" s="45" customFormat="1" ht="15" customHeight="1">
      <c r="A42" s="140" t="s">
        <v>112</v>
      </c>
      <c r="B42" s="136">
        <v>150194.15999999997</v>
      </c>
      <c r="C42" s="27" t="s">
        <v>43</v>
      </c>
      <c r="D42" s="144"/>
      <c r="E42" s="46"/>
    </row>
    <row r="43" spans="1:5" s="45" customFormat="1" ht="15" customHeight="1">
      <c r="A43" s="140" t="s">
        <v>111</v>
      </c>
      <c r="B43" s="139"/>
      <c r="C43" s="294">
        <f>+B41-B42</f>
        <v>-21861.309999999983</v>
      </c>
      <c r="D43" s="144"/>
      <c r="E43" s="46"/>
    </row>
    <row r="44" spans="1:6" s="45" customFormat="1" ht="15" customHeight="1">
      <c r="A44" s="142" t="s">
        <v>110</v>
      </c>
      <c r="B44" s="139"/>
      <c r="C44" s="27"/>
      <c r="D44" s="141">
        <f>SUM(C40:C43)+1</f>
        <v>3575962.2200000007</v>
      </c>
      <c r="E44" s="46"/>
      <c r="F44" s="46"/>
    </row>
    <row r="45" spans="1:6" s="45" customFormat="1" ht="15" customHeight="1">
      <c r="A45" s="142" t="s">
        <v>109</v>
      </c>
      <c r="B45" s="139"/>
      <c r="C45" s="27"/>
      <c r="D45" s="138">
        <f>SUM(D36:D44)</f>
        <v>3615018.4900000007</v>
      </c>
      <c r="E45" s="46"/>
      <c r="F45" s="146"/>
    </row>
    <row r="46" spans="1:6" s="45" customFormat="1" ht="15" customHeight="1">
      <c r="A46" s="142" t="s">
        <v>108</v>
      </c>
      <c r="B46" s="139"/>
      <c r="C46" s="27"/>
      <c r="D46" s="134">
        <f>+D31+D45-1</f>
        <v>10897694.77</v>
      </c>
      <c r="E46" s="46"/>
      <c r="F46" s="146"/>
    </row>
    <row r="47" spans="1:6" s="45" customFormat="1" ht="15" customHeight="1">
      <c r="A47" s="142" t="s">
        <v>107</v>
      </c>
      <c r="B47" s="139"/>
      <c r="C47" s="27"/>
      <c r="D47" s="145">
        <f>D16-D31-D45+1</f>
        <v>-2691745.06</v>
      </c>
      <c r="E47" s="133"/>
      <c r="F47" s="46"/>
    </row>
    <row r="48" spans="1:6" s="45" customFormat="1" ht="15" customHeight="1">
      <c r="A48" s="140" t="s">
        <v>106</v>
      </c>
      <c r="B48" s="139"/>
      <c r="C48" s="27">
        <f>-'[1]3Q13 Trial Balance (FS)'!F253-C51</f>
        <v>38666.46</v>
      </c>
      <c r="D48" s="144"/>
      <c r="E48" s="53"/>
      <c r="F48" s="53"/>
    </row>
    <row r="49" spans="1:5" s="45" customFormat="1" ht="15" customHeight="1">
      <c r="A49" s="140" t="s">
        <v>105</v>
      </c>
      <c r="B49" s="139">
        <f>'[1]3Q13 Trial Balance (FS)'!F38</f>
        <v>10831.880000000001</v>
      </c>
      <c r="C49" s="27"/>
      <c r="D49" s="144"/>
      <c r="E49" s="46"/>
    </row>
    <row r="50" spans="1:5" s="45" customFormat="1" ht="15" customHeight="1">
      <c r="A50" s="140" t="s">
        <v>104</v>
      </c>
      <c r="B50" s="136">
        <v>11914.7</v>
      </c>
      <c r="C50" s="27"/>
      <c r="D50" s="144"/>
      <c r="E50" s="46"/>
    </row>
    <row r="51" spans="1:5" s="45" customFormat="1" ht="15" customHeight="1">
      <c r="A51" s="140" t="s">
        <v>103</v>
      </c>
      <c r="B51" s="139"/>
      <c r="C51" s="294">
        <f>B49-B50</f>
        <v>-1082.8199999999997</v>
      </c>
      <c r="D51" s="144"/>
      <c r="E51" s="46"/>
    </row>
    <row r="52" spans="1:5" s="45" customFormat="1" ht="15" customHeight="1">
      <c r="A52" s="142" t="s">
        <v>102</v>
      </c>
      <c r="B52" s="139"/>
      <c r="C52" s="27"/>
      <c r="D52" s="141">
        <f>C48+C51-1</f>
        <v>37582.64</v>
      </c>
      <c r="E52" s="46"/>
    </row>
    <row r="53" spans="1:5" s="45" customFormat="1" ht="15" customHeight="1">
      <c r="A53" s="140" t="s">
        <v>101</v>
      </c>
      <c r="B53" s="139"/>
      <c r="C53" s="27"/>
      <c r="D53" s="143">
        <f>-'[1]3Q13 Trial Balance (FS)'!F260</f>
        <v>-7179.18</v>
      </c>
      <c r="E53" s="46"/>
    </row>
    <row r="54" spans="1:5" s="45" customFormat="1" ht="15" customHeight="1">
      <c r="A54" s="142" t="s">
        <v>100</v>
      </c>
      <c r="B54" s="139"/>
      <c r="C54" s="27"/>
      <c r="D54" s="141">
        <f>SUM(D52:D53)+1</f>
        <v>30404.46</v>
      </c>
      <c r="E54" s="46"/>
    </row>
    <row r="55" spans="1:6" s="45" customFormat="1" ht="15" customHeight="1">
      <c r="A55" s="296" t="s">
        <v>205</v>
      </c>
      <c r="B55" s="139"/>
      <c r="C55" s="27"/>
      <c r="D55" s="138">
        <f>-'[1]3Q13 Trial Balance (FS)'!F264</f>
        <v>27527.35</v>
      </c>
      <c r="E55" s="46"/>
      <c r="F55" s="53"/>
    </row>
    <row r="56" spans="1:6" s="45" customFormat="1" ht="15" customHeight="1">
      <c r="A56" s="137" t="s">
        <v>99</v>
      </c>
      <c r="B56" s="136"/>
      <c r="C56" s="135"/>
      <c r="D56" s="134">
        <f>D47+D54+D55-1</f>
        <v>-2633814.25</v>
      </c>
      <c r="E56" s="133"/>
      <c r="F56" s="132"/>
    </row>
    <row r="57" spans="1:5" s="45" customFormat="1" ht="15" customHeight="1">
      <c r="A57" s="127"/>
      <c r="B57" s="128"/>
      <c r="C57" s="128"/>
      <c r="D57" s="131"/>
      <c r="E57" s="46"/>
    </row>
    <row r="58" spans="1:5" s="45" customFormat="1" ht="15" customHeight="1">
      <c r="A58" s="127"/>
      <c r="B58" s="128"/>
      <c r="C58" s="128"/>
      <c r="D58" s="131"/>
      <c r="E58" s="46"/>
    </row>
    <row r="59" spans="1:5" s="45" customFormat="1" ht="15" customHeight="1">
      <c r="A59" s="127"/>
      <c r="B59" s="128"/>
      <c r="C59" s="128"/>
      <c r="D59" s="128"/>
      <c r="E59" s="46"/>
    </row>
    <row r="60" spans="1:5" s="45" customFormat="1" ht="15" customHeight="1">
      <c r="A60" s="127"/>
      <c r="B60" s="128"/>
      <c r="C60" s="128"/>
      <c r="D60" s="128"/>
      <c r="E60" s="46"/>
    </row>
    <row r="61" spans="1:5" s="45" customFormat="1" ht="15" customHeight="1">
      <c r="A61" s="127"/>
      <c r="B61" s="128"/>
      <c r="C61" s="128"/>
      <c r="D61" s="128"/>
      <c r="E61" s="46"/>
    </row>
    <row r="62" spans="1:5" s="45" customFormat="1" ht="15" customHeight="1">
      <c r="A62" s="127"/>
      <c r="B62" s="128"/>
      <c r="C62" s="128"/>
      <c r="D62" s="128"/>
      <c r="E62" s="46"/>
    </row>
    <row r="63" spans="1:5" s="45" customFormat="1" ht="15" customHeight="1">
      <c r="A63" s="127"/>
      <c r="B63" s="128"/>
      <c r="C63" s="128"/>
      <c r="D63" s="128"/>
      <c r="E63" s="46"/>
    </row>
    <row r="64" spans="1:5" s="45" customFormat="1" ht="15" customHeight="1">
      <c r="A64" s="127"/>
      <c r="B64" s="130"/>
      <c r="C64" s="128"/>
      <c r="D64" s="128"/>
      <c r="E64" s="46"/>
    </row>
    <row r="65" spans="1:5" s="45" customFormat="1" ht="15" customHeight="1">
      <c r="A65" s="127"/>
      <c r="B65" s="130"/>
      <c r="C65" s="128"/>
      <c r="D65" s="128"/>
      <c r="E65" s="46"/>
    </row>
    <row r="66" spans="1:5" s="45" customFormat="1" ht="15" customHeight="1">
      <c r="A66" s="127"/>
      <c r="B66" s="130"/>
      <c r="C66" s="128"/>
      <c r="D66" s="128"/>
      <c r="E66" s="46"/>
    </row>
    <row r="67" spans="1:5" s="45" customFormat="1" ht="15" customHeight="1">
      <c r="A67" s="127"/>
      <c r="B67" s="130"/>
      <c r="C67" s="129"/>
      <c r="D67" s="128"/>
      <c r="E67" s="46"/>
    </row>
    <row r="68" spans="1:5" s="45" customFormat="1" ht="15" customHeight="1">
      <c r="A68" s="127"/>
      <c r="B68" s="130"/>
      <c r="C68" s="128"/>
      <c r="D68" s="128"/>
      <c r="E68" s="46"/>
    </row>
    <row r="69" spans="2:5" s="45" customFormat="1" ht="15" customHeight="1">
      <c r="B69" s="130"/>
      <c r="C69" s="128"/>
      <c r="D69" s="128"/>
      <c r="E69" s="46"/>
    </row>
    <row r="70" spans="1:5" s="45" customFormat="1" ht="15" customHeight="1">
      <c r="A70" s="127"/>
      <c r="B70" s="130"/>
      <c r="C70" s="128"/>
      <c r="D70" s="128"/>
      <c r="E70" s="46"/>
    </row>
    <row r="71" spans="1:5" s="45" customFormat="1" ht="15" customHeight="1">
      <c r="A71" s="127"/>
      <c r="B71" s="130"/>
      <c r="C71" s="128"/>
      <c r="D71" s="128"/>
      <c r="E71" s="46"/>
    </row>
    <row r="72" spans="1:5" s="45" customFormat="1" ht="15" customHeight="1">
      <c r="A72" s="127"/>
      <c r="B72" s="125"/>
      <c r="C72" s="128"/>
      <c r="D72" s="128"/>
      <c r="E72" s="46"/>
    </row>
    <row r="73" spans="1:5" s="45" customFormat="1" ht="15" customHeight="1">
      <c r="A73" s="127"/>
      <c r="B73" s="128"/>
      <c r="C73" s="129"/>
      <c r="D73" s="128"/>
      <c r="E73" s="46"/>
    </row>
    <row r="74" spans="1:5" s="45" customFormat="1" ht="15" customHeight="1">
      <c r="A74" s="127"/>
      <c r="B74" s="128"/>
      <c r="C74" s="128"/>
      <c r="D74" s="128"/>
      <c r="E74" s="46"/>
    </row>
    <row r="75" spans="1:5" s="45" customFormat="1" ht="15" customHeight="1">
      <c r="A75" s="127"/>
      <c r="B75" s="128"/>
      <c r="C75" s="128"/>
      <c r="D75" s="128"/>
      <c r="E75" s="46"/>
    </row>
    <row r="76" spans="1:5" s="45" customFormat="1" ht="15" customHeight="1">
      <c r="A76" s="127"/>
      <c r="B76" s="128"/>
      <c r="C76" s="128"/>
      <c r="D76" s="128"/>
      <c r="E76" s="46"/>
    </row>
    <row r="77" spans="1:5" s="45" customFormat="1" ht="15" customHeight="1">
      <c r="A77" s="127"/>
      <c r="B77" s="128"/>
      <c r="C77" s="128"/>
      <c r="D77" s="128"/>
      <c r="E77" s="46"/>
    </row>
    <row r="78" spans="1:5" s="45" customFormat="1" ht="15" customHeight="1">
      <c r="A78" s="127"/>
      <c r="B78" s="128"/>
      <c r="C78" s="128"/>
      <c r="D78" s="128"/>
      <c r="E78" s="46"/>
    </row>
    <row r="79" spans="1:5" s="45" customFormat="1" ht="15" customHeight="1">
      <c r="A79" s="127"/>
      <c r="B79" s="128"/>
      <c r="C79" s="128"/>
      <c r="D79" s="128"/>
      <c r="E79" s="46"/>
    </row>
    <row r="80" spans="1:5" s="45" customFormat="1" ht="15" customHeight="1">
      <c r="A80" s="127"/>
      <c r="B80" s="128"/>
      <c r="C80" s="128"/>
      <c r="D80" s="128"/>
      <c r="E80" s="46"/>
    </row>
    <row r="81" spans="1:5" s="45" customFormat="1" ht="15" customHeight="1">
      <c r="A81" s="127"/>
      <c r="B81" s="128"/>
      <c r="C81" s="128"/>
      <c r="D81" s="128"/>
      <c r="E81" s="46"/>
    </row>
    <row r="82" spans="1:5" s="45" customFormat="1" ht="15" customHeight="1">
      <c r="A82" s="127"/>
      <c r="B82" s="128"/>
      <c r="C82" s="128"/>
      <c r="D82" s="128"/>
      <c r="E82" s="46"/>
    </row>
    <row r="83" spans="1:5" s="45" customFormat="1" ht="15" customHeight="1">
      <c r="A83" s="127"/>
      <c r="B83" s="128"/>
      <c r="C83" s="128"/>
      <c r="D83" s="128"/>
      <c r="E83" s="46"/>
    </row>
    <row r="84" spans="1:5" s="45" customFormat="1" ht="15" customHeight="1">
      <c r="A84" s="127"/>
      <c r="B84" s="128"/>
      <c r="C84" s="128"/>
      <c r="D84" s="128"/>
      <c r="E84" s="46"/>
    </row>
    <row r="85" spans="1:5" s="45" customFormat="1" ht="15" customHeight="1">
      <c r="A85" s="127"/>
      <c r="B85" s="128"/>
      <c r="C85" s="128"/>
      <c r="D85" s="128"/>
      <c r="E85" s="46"/>
    </row>
    <row r="86" spans="1:5" s="45" customFormat="1" ht="15" customHeight="1">
      <c r="A86" s="127"/>
      <c r="B86" s="128"/>
      <c r="C86" s="128"/>
      <c r="D86" s="128"/>
      <c r="E86" s="46"/>
    </row>
    <row r="87" spans="1:5" s="45" customFormat="1" ht="15" customHeight="1">
      <c r="A87" s="127"/>
      <c r="B87" s="128"/>
      <c r="C87" s="128"/>
      <c r="D87" s="128"/>
      <c r="E87" s="46"/>
    </row>
    <row r="88" spans="1:5" s="45" customFormat="1" ht="15" customHeight="1">
      <c r="A88" s="127"/>
      <c r="B88" s="128"/>
      <c r="C88" s="128"/>
      <c r="D88" s="128"/>
      <c r="E88" s="46"/>
    </row>
    <row r="89" spans="1:5" s="45" customFormat="1" ht="15" customHeight="1">
      <c r="A89" s="127"/>
      <c r="B89" s="128"/>
      <c r="C89" s="125"/>
      <c r="D89" s="125"/>
      <c r="E89" s="46"/>
    </row>
    <row r="90" spans="1:5" s="45" customFormat="1" ht="15" customHeight="1">
      <c r="A90" s="127"/>
      <c r="B90" s="128"/>
      <c r="C90" s="125"/>
      <c r="D90" s="125"/>
      <c r="E90" s="46"/>
    </row>
    <row r="91" spans="1:5" s="45" customFormat="1" ht="15" customHeight="1">
      <c r="A91" s="127"/>
      <c r="B91" s="128"/>
      <c r="C91" s="125"/>
      <c r="D91" s="125"/>
      <c r="E91" s="46"/>
    </row>
    <row r="92" spans="1:5" s="45" customFormat="1" ht="15" customHeight="1">
      <c r="A92" s="127"/>
      <c r="B92" s="125"/>
      <c r="C92" s="125"/>
      <c r="D92" s="125"/>
      <c r="E92" s="46"/>
    </row>
    <row r="93" spans="1:5" s="45" customFormat="1" ht="15" customHeight="1">
      <c r="A93" s="127"/>
      <c r="B93" s="125"/>
      <c r="C93" s="125"/>
      <c r="D93" s="125"/>
      <c r="E93" s="46"/>
    </row>
    <row r="94" spans="1:5" s="45" customFormat="1" ht="15" customHeight="1">
      <c r="A94" s="127"/>
      <c r="B94" s="125"/>
      <c r="C94" s="125"/>
      <c r="D94" s="125"/>
      <c r="E94" s="46"/>
    </row>
    <row r="95" spans="1:5" s="45" customFormat="1" ht="15" customHeight="1">
      <c r="A95" s="127"/>
      <c r="B95" s="125"/>
      <c r="C95" s="125"/>
      <c r="D95" s="125"/>
      <c r="E95" s="46"/>
    </row>
    <row r="96" spans="1:5" s="45" customFormat="1" ht="15" customHeight="1">
      <c r="A96" s="127"/>
      <c r="B96" s="125"/>
      <c r="C96" s="125"/>
      <c r="D96" s="125"/>
      <c r="E96" s="46"/>
    </row>
    <row r="97" spans="1:5" s="45" customFormat="1" ht="15" customHeight="1">
      <c r="A97" s="127"/>
      <c r="B97" s="125"/>
      <c r="C97" s="125"/>
      <c r="D97" s="125"/>
      <c r="E97" s="46"/>
    </row>
    <row r="98" spans="1:5" s="45" customFormat="1" ht="15" customHeight="1">
      <c r="A98" s="127"/>
      <c r="B98" s="125"/>
      <c r="C98" s="125"/>
      <c r="D98" s="125"/>
      <c r="E98" s="46"/>
    </row>
    <row r="99" spans="1:5" s="45" customFormat="1" ht="15" customHeight="1">
      <c r="A99" s="127"/>
      <c r="B99" s="125"/>
      <c r="C99" s="125"/>
      <c r="D99" s="125"/>
      <c r="E99" s="46"/>
    </row>
    <row r="100" spans="1:5" s="45" customFormat="1" ht="15" customHeight="1">
      <c r="A100" s="127"/>
      <c r="B100" s="125"/>
      <c r="C100" s="125"/>
      <c r="D100" s="125"/>
      <c r="E100" s="46"/>
    </row>
    <row r="101" spans="1:5" s="45" customFormat="1" ht="15" customHeight="1">
      <c r="A101" s="127"/>
      <c r="B101" s="125"/>
      <c r="C101" s="125"/>
      <c r="D101" s="125"/>
      <c r="E101" s="46"/>
    </row>
    <row r="102" spans="1:5" s="45" customFormat="1" ht="15" customHeight="1">
      <c r="A102" s="127"/>
      <c r="B102" s="125"/>
      <c r="C102" s="125"/>
      <c r="D102" s="125"/>
      <c r="E102" s="46"/>
    </row>
    <row r="103" spans="1:5" s="45" customFormat="1" ht="15" customHeight="1">
      <c r="A103" s="127"/>
      <c r="B103" s="125"/>
      <c r="C103" s="125"/>
      <c r="D103" s="125"/>
      <c r="E103" s="46"/>
    </row>
    <row r="104" spans="1:5" s="45" customFormat="1" ht="15" customHeight="1">
      <c r="A104" s="127"/>
      <c r="B104" s="125"/>
      <c r="C104" s="125"/>
      <c r="D104" s="125"/>
      <c r="E104" s="46"/>
    </row>
    <row r="105" spans="1:5" s="45" customFormat="1" ht="15" customHeight="1">
      <c r="A105" s="127"/>
      <c r="B105" s="125"/>
      <c r="C105" s="125"/>
      <c r="D105" s="125"/>
      <c r="E105" s="46"/>
    </row>
    <row r="106" spans="1:5" s="45" customFormat="1" ht="15" customHeight="1">
      <c r="A106" s="127"/>
      <c r="B106" s="125"/>
      <c r="C106" s="125"/>
      <c r="D106" s="125"/>
      <c r="E106" s="46"/>
    </row>
    <row r="107" spans="1:5" s="45" customFormat="1" ht="15" customHeight="1">
      <c r="A107" s="127"/>
      <c r="B107" s="125"/>
      <c r="C107" s="125"/>
      <c r="D107" s="125"/>
      <c r="E107" s="46"/>
    </row>
    <row r="108" spans="1:5" s="45" customFormat="1" ht="15" customHeight="1">
      <c r="A108" s="127"/>
      <c r="B108" s="125"/>
      <c r="C108" s="125"/>
      <c r="D108" s="125"/>
      <c r="E108" s="46"/>
    </row>
    <row r="109" spans="1:5" s="45" customFormat="1" ht="15" customHeight="1">
      <c r="A109" s="127"/>
      <c r="B109" s="125"/>
      <c r="C109" s="125"/>
      <c r="D109" s="125"/>
      <c r="E109" s="46"/>
    </row>
    <row r="110" spans="1:5" s="45" customFormat="1" ht="15" customHeight="1">
      <c r="A110" s="127"/>
      <c r="B110" s="125"/>
      <c r="C110" s="125"/>
      <c r="D110" s="125"/>
      <c r="E110" s="46"/>
    </row>
    <row r="111" spans="1:5" s="45" customFormat="1" ht="15" customHeight="1">
      <c r="A111" s="127"/>
      <c r="B111" s="125"/>
      <c r="C111" s="125"/>
      <c r="D111" s="125"/>
      <c r="E111" s="46"/>
    </row>
    <row r="112" spans="1:5" s="45" customFormat="1" ht="15" customHeight="1">
      <c r="A112" s="127"/>
      <c r="B112" s="125"/>
      <c r="C112" s="125"/>
      <c r="D112" s="125"/>
      <c r="E112" s="46"/>
    </row>
    <row r="113" spans="1:5" s="45" customFormat="1" ht="15" customHeight="1">
      <c r="A113" s="127"/>
      <c r="B113" s="125"/>
      <c r="C113" s="125"/>
      <c r="D113" s="125"/>
      <c r="E113" s="46"/>
    </row>
    <row r="114" spans="1:5" s="45" customFormat="1" ht="15" customHeight="1">
      <c r="A114" s="127"/>
      <c r="B114" s="125"/>
      <c r="C114" s="125"/>
      <c r="D114" s="125"/>
      <c r="E114" s="46"/>
    </row>
    <row r="115" spans="1:5" s="45" customFormat="1" ht="15" customHeight="1">
      <c r="A115" s="127"/>
      <c r="B115" s="125"/>
      <c r="C115" s="125"/>
      <c r="D115" s="125"/>
      <c r="E115" s="46"/>
    </row>
    <row r="116" spans="1:5" s="45" customFormat="1" ht="15" customHeight="1">
      <c r="A116" s="127"/>
      <c r="B116" s="125"/>
      <c r="C116" s="125"/>
      <c r="D116" s="125"/>
      <c r="E116" s="46"/>
    </row>
    <row r="117" spans="1:5" s="45" customFormat="1" ht="15" customHeight="1">
      <c r="A117" s="127"/>
      <c r="B117" s="125"/>
      <c r="C117" s="125"/>
      <c r="D117" s="125"/>
      <c r="E117" s="46"/>
    </row>
    <row r="118" spans="1:5" s="45" customFormat="1" ht="15" customHeight="1">
      <c r="A118" s="127"/>
      <c r="B118" s="125"/>
      <c r="C118" s="125"/>
      <c r="D118" s="125"/>
      <c r="E118" s="46"/>
    </row>
    <row r="119" spans="1:5" s="45" customFormat="1" ht="15" customHeight="1">
      <c r="A119" s="127"/>
      <c r="B119" s="125"/>
      <c r="C119" s="125"/>
      <c r="D119" s="125"/>
      <c r="E119" s="46"/>
    </row>
    <row r="120" spans="1:5" s="45" customFormat="1" ht="15" customHeight="1">
      <c r="A120" s="127"/>
      <c r="B120" s="125"/>
      <c r="C120" s="125"/>
      <c r="D120" s="125"/>
      <c r="E120" s="46"/>
    </row>
    <row r="121" spans="1:5" s="45" customFormat="1" ht="15" customHeight="1">
      <c r="A121" s="126"/>
      <c r="B121" s="125"/>
      <c r="C121" s="125"/>
      <c r="D121" s="125"/>
      <c r="E121" s="46"/>
    </row>
    <row r="122" spans="1:5" s="45" customFormat="1" ht="15" customHeight="1">
      <c r="A122" s="126"/>
      <c r="B122" s="125"/>
      <c r="C122" s="125"/>
      <c r="D122" s="125"/>
      <c r="E122" s="46"/>
    </row>
    <row r="123" spans="1:5" s="45" customFormat="1" ht="15" customHeight="1">
      <c r="A123" s="126"/>
      <c r="B123" s="125"/>
      <c r="C123" s="125"/>
      <c r="D123" s="125"/>
      <c r="E123" s="46"/>
    </row>
    <row r="124" spans="1:5" s="45" customFormat="1" ht="15" customHeight="1">
      <c r="A124" s="126"/>
      <c r="B124" s="125"/>
      <c r="C124" s="125"/>
      <c r="D124" s="125"/>
      <c r="E124" s="46"/>
    </row>
    <row r="125" spans="1:5" s="45" customFormat="1" ht="15" customHeight="1">
      <c r="A125" s="126"/>
      <c r="B125" s="125"/>
      <c r="C125" s="125"/>
      <c r="D125" s="125"/>
      <c r="E125" s="46"/>
    </row>
    <row r="126" spans="1:5" s="45" customFormat="1" ht="15" customHeight="1">
      <c r="A126" s="126"/>
      <c r="B126" s="125"/>
      <c r="C126" s="125"/>
      <c r="D126" s="125"/>
      <c r="E126" s="46"/>
    </row>
    <row r="127" spans="1:5" s="45" customFormat="1" ht="15" customHeight="1">
      <c r="A127" s="126"/>
      <c r="B127" s="125"/>
      <c r="C127" s="125"/>
      <c r="D127" s="125"/>
      <c r="E127" s="46"/>
    </row>
    <row r="128" ht="15" customHeight="1">
      <c r="A128" s="124"/>
    </row>
    <row r="129" s="70" customFormat="1" ht="15" customHeight="1">
      <c r="A129" s="124"/>
    </row>
    <row r="130" s="70" customFormat="1" ht="15" customHeight="1">
      <c r="A130" s="124"/>
    </row>
    <row r="131" s="70" customFormat="1" ht="15" customHeight="1">
      <c r="A131" s="124"/>
    </row>
    <row r="132" s="70" customFormat="1" ht="15" customHeight="1">
      <c r="A132" s="124"/>
    </row>
    <row r="133" s="70" customFormat="1" ht="15" customHeight="1">
      <c r="A133" s="124"/>
    </row>
    <row r="134" s="70" customFormat="1" ht="15" customHeight="1">
      <c r="A134" s="124"/>
    </row>
    <row r="135" s="70" customFormat="1" ht="15" customHeight="1">
      <c r="A135" s="124"/>
    </row>
    <row r="136" s="70" customFormat="1" ht="15" customHeight="1">
      <c r="A136" s="124"/>
    </row>
    <row r="137" s="70" customFormat="1" ht="15" customHeight="1">
      <c r="A137" s="124"/>
    </row>
    <row r="138" s="70" customFormat="1" ht="15" customHeight="1">
      <c r="A138" s="124"/>
    </row>
    <row r="139" s="70" customFormat="1" ht="15" customHeight="1">
      <c r="A139" s="124"/>
    </row>
    <row r="140" s="70" customFormat="1" ht="15" customHeight="1">
      <c r="A140" s="124"/>
    </row>
    <row r="141" s="70" customFormat="1" ht="15" customHeight="1">
      <c r="A141" s="124"/>
    </row>
    <row r="142" s="70" customFormat="1" ht="15" customHeight="1">
      <c r="A142" s="124"/>
    </row>
    <row r="143" s="70" customFormat="1" ht="15" customHeight="1">
      <c r="A143" s="124"/>
    </row>
    <row r="144" s="70" customFormat="1" ht="15" customHeight="1">
      <c r="A144" s="124"/>
    </row>
    <row r="145" s="70" customFormat="1" ht="15" customHeight="1">
      <c r="A145" s="124"/>
    </row>
    <row r="146" s="70" customFormat="1" ht="15" customHeight="1">
      <c r="A146" s="124"/>
    </row>
    <row r="147" s="70" customFormat="1" ht="15" customHeight="1">
      <c r="A147" s="124"/>
    </row>
    <row r="148" s="70" customFormat="1" ht="15" customHeight="1">
      <c r="A148" s="124"/>
    </row>
    <row r="149" s="70" customFormat="1" ht="15" customHeight="1">
      <c r="A149" s="124"/>
    </row>
    <row r="150" s="70" customFormat="1" ht="15" customHeight="1">
      <c r="A150" s="124"/>
    </row>
    <row r="151" s="70" customFormat="1" ht="15" customHeight="1">
      <c r="A151" s="124"/>
    </row>
    <row r="152" s="70" customFormat="1" ht="15" customHeight="1">
      <c r="A152" s="124"/>
    </row>
    <row r="153" s="70" customFormat="1" ht="15" customHeight="1">
      <c r="A153" s="124"/>
    </row>
    <row r="154" s="70" customFormat="1" ht="15" customHeight="1">
      <c r="A154" s="124"/>
    </row>
    <row r="155" s="70" customFormat="1" ht="15" customHeight="1">
      <c r="A155" s="124"/>
    </row>
    <row r="156" s="70" customFormat="1" ht="15" customHeight="1">
      <c r="A156" s="124"/>
    </row>
    <row r="157" s="70" customFormat="1" ht="15" customHeight="1">
      <c r="A157" s="124"/>
    </row>
    <row r="158" s="70" customFormat="1" ht="15" customHeight="1">
      <c r="A158" s="124"/>
    </row>
    <row r="159" s="70" customFormat="1" ht="15" customHeight="1">
      <c r="A159" s="124"/>
    </row>
    <row r="160" s="70" customFormat="1" ht="15" customHeight="1">
      <c r="A160" s="124"/>
    </row>
    <row r="161" s="70" customFormat="1" ht="15" customHeight="1">
      <c r="A161" s="124"/>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169" customWidth="1"/>
    <col min="2" max="6" width="18.7109375" style="170" customWidth="1"/>
    <col min="7" max="16384" width="15.7109375" style="169" customWidth="1"/>
  </cols>
  <sheetData>
    <row r="1" spans="1:6" s="204" customFormat="1" ht="30" customHeight="1">
      <c r="A1" s="207" t="s">
        <v>0</v>
      </c>
      <c r="B1" s="206"/>
      <c r="C1" s="206"/>
      <c r="D1" s="206"/>
      <c r="E1" s="206"/>
      <c r="F1" s="205"/>
    </row>
    <row r="2" spans="1:6" s="200" customFormat="1" ht="15" customHeight="1">
      <c r="A2" s="203"/>
      <c r="B2" s="202"/>
      <c r="C2" s="202"/>
      <c r="D2" s="202"/>
      <c r="E2" s="202"/>
      <c r="F2" s="201"/>
    </row>
    <row r="3" spans="1:6" ht="15" customHeight="1">
      <c r="A3" s="199" t="s">
        <v>155</v>
      </c>
      <c r="B3" s="198"/>
      <c r="C3" s="198"/>
      <c r="D3" s="198"/>
      <c r="E3" s="198"/>
      <c r="F3" s="197"/>
    </row>
    <row r="4" spans="1:6" ht="15" customHeight="1">
      <c r="A4" s="199" t="s">
        <v>195</v>
      </c>
      <c r="B4" s="198"/>
      <c r="C4" s="198"/>
      <c r="D4" s="198"/>
      <c r="E4" s="198"/>
      <c r="F4" s="197"/>
    </row>
    <row r="5" spans="1:6" s="1" customFormat="1" ht="15" customHeight="1">
      <c r="A5" s="196"/>
      <c r="B5" s="195"/>
      <c r="C5" s="195"/>
      <c r="D5" s="195"/>
      <c r="E5" s="195"/>
      <c r="F5" s="195"/>
    </row>
    <row r="6" spans="2:6" s="1" customFormat="1" ht="30" customHeight="1">
      <c r="B6" s="194" t="s">
        <v>173</v>
      </c>
      <c r="C6" s="194" t="s">
        <v>1</v>
      </c>
      <c r="D6" s="194" t="s">
        <v>2</v>
      </c>
      <c r="E6" s="194" t="s">
        <v>3</v>
      </c>
      <c r="F6" s="193" t="s">
        <v>4</v>
      </c>
    </row>
    <row r="7" spans="1:6" s="190" customFormat="1" ht="15" customHeight="1">
      <c r="A7" s="192" t="s">
        <v>154</v>
      </c>
      <c r="B7" s="195"/>
      <c r="C7" s="195"/>
      <c r="D7" s="195"/>
      <c r="E7" s="195"/>
      <c r="F7" s="195"/>
    </row>
    <row r="8" spans="1:6" s="1" customFormat="1" ht="15" customHeight="1">
      <c r="A8" s="178" t="s">
        <v>153</v>
      </c>
      <c r="B8" s="191"/>
      <c r="C8" s="191"/>
      <c r="D8" s="191"/>
      <c r="E8" s="191"/>
      <c r="F8" s="191"/>
    </row>
    <row r="9" spans="1:6" s="190" customFormat="1" ht="15" customHeight="1">
      <c r="A9" s="177" t="s">
        <v>149</v>
      </c>
      <c r="B9" s="290">
        <f>-'[1]3Q13 Trial Balance (FS)'!C208</f>
        <v>2112898</v>
      </c>
      <c r="C9" s="290">
        <f>-'[1]3Q13 Trial Balance (FS)'!C204</f>
        <v>-14969</v>
      </c>
      <c r="D9" s="187">
        <v>0</v>
      </c>
      <c r="E9" s="187">
        <v>0</v>
      </c>
      <c r="F9" s="290">
        <f>SUM(B9:E9)</f>
        <v>2097929</v>
      </c>
    </row>
    <row r="10" spans="1:6" s="1" customFormat="1" ht="15" customHeight="1">
      <c r="A10" s="177" t="s">
        <v>148</v>
      </c>
      <c r="B10" s="291">
        <f>-'[1]3Q13 Trial Balance (FS)'!C209</f>
        <v>729744</v>
      </c>
      <c r="C10" s="291">
        <f>-'[1]3Q13 Trial Balance (FS)'!C205</f>
        <v>-6633</v>
      </c>
      <c r="D10" s="187">
        <v>0</v>
      </c>
      <c r="E10" s="187">
        <v>0</v>
      </c>
      <c r="F10" s="29">
        <f>SUM(B10:E10)</f>
        <v>723111</v>
      </c>
    </row>
    <row r="11" spans="1:6" s="1" customFormat="1" ht="15" customHeight="1">
      <c r="A11" s="177" t="s">
        <v>147</v>
      </c>
      <c r="B11" s="291">
        <f>-'[1]3Q13 Trial Balance (FS)'!C210</f>
        <v>8952</v>
      </c>
      <c r="C11" s="291">
        <f>-'[1]3Q13 Trial Balance (FS)'!C206</f>
        <v>-65</v>
      </c>
      <c r="D11" s="187">
        <v>0</v>
      </c>
      <c r="E11" s="187">
        <v>0</v>
      </c>
      <c r="F11" s="29">
        <f>SUM(B11:E11)</f>
        <v>8887</v>
      </c>
    </row>
    <row r="12" spans="1:6" s="28" customFormat="1" ht="15" customHeight="1" thickBot="1">
      <c r="A12" s="173" t="s">
        <v>146</v>
      </c>
      <c r="B12" s="292">
        <f>SUM(B9:B11)</f>
        <v>2851594</v>
      </c>
      <c r="C12" s="292">
        <f>SUM(C9:C11)</f>
        <v>-21667</v>
      </c>
      <c r="D12" s="186">
        <f>SUM(D9:D11)</f>
        <v>0</v>
      </c>
      <c r="E12" s="186">
        <f>SUM(E9:E11)</f>
        <v>0</v>
      </c>
      <c r="F12" s="185">
        <f>SUM(F9:F11)</f>
        <v>2829927</v>
      </c>
    </row>
    <row r="13" spans="1:6" s="28" customFormat="1" ht="15" customHeight="1" thickTop="1">
      <c r="A13" s="177"/>
      <c r="B13" s="176"/>
      <c r="C13" s="176"/>
      <c r="D13" s="176"/>
      <c r="E13" s="176"/>
      <c r="F13" s="171"/>
    </row>
    <row r="14" spans="1:6" s="28" customFormat="1" ht="30" customHeight="1">
      <c r="A14" s="178" t="s">
        <v>197</v>
      </c>
      <c r="B14" s="176"/>
      <c r="C14" s="176"/>
      <c r="D14" s="176"/>
      <c r="E14" s="176"/>
      <c r="F14" s="176"/>
    </row>
    <row r="15" spans="1:6" s="28" customFormat="1" ht="15" customHeight="1">
      <c r="A15" s="177" t="s">
        <v>149</v>
      </c>
      <c r="B15" s="27">
        <f>-'[1]3Q13 Trial Balance (FS)'!E68</f>
        <v>3919193.08</v>
      </c>
      <c r="C15" s="27">
        <f>-'[1]3Q13 Trial Balance (FS)'!E64</f>
        <v>239227.94</v>
      </c>
      <c r="D15" s="187">
        <v>0</v>
      </c>
      <c r="E15" s="187">
        <v>0</v>
      </c>
      <c r="F15" s="29">
        <f>SUM(B15:E15)</f>
        <v>4158421.02</v>
      </c>
    </row>
    <row r="16" spans="1:6" s="28" customFormat="1" ht="15" customHeight="1">
      <c r="A16" s="177" t="s">
        <v>152</v>
      </c>
      <c r="B16" s="27">
        <f>-'[1]3Q13 Trial Balance (FS)'!E69</f>
        <v>1328978.86</v>
      </c>
      <c r="C16" s="27">
        <f>-'[1]3Q13 Trial Balance (FS)'!E65</f>
        <v>76470.43</v>
      </c>
      <c r="D16" s="187">
        <v>0</v>
      </c>
      <c r="E16" s="187">
        <v>0</v>
      </c>
      <c r="F16" s="29">
        <f>SUM(B16:E16)</f>
        <v>1405449.29</v>
      </c>
    </row>
    <row r="17" spans="1:6" s="28" customFormat="1" ht="15" customHeight="1">
      <c r="A17" s="177" t="s">
        <v>151</v>
      </c>
      <c r="B17" s="291">
        <f>-'[1]3Q13 Trial Balance (FS)'!E70</f>
        <v>17896.33</v>
      </c>
      <c r="C17" s="291">
        <f>-'[1]3Q13 Trial Balance (FS)'!E66</f>
        <v>677.08</v>
      </c>
      <c r="D17" s="187">
        <v>0</v>
      </c>
      <c r="E17" s="187">
        <v>0</v>
      </c>
      <c r="F17" s="29">
        <f>SUM(B17:E17)</f>
        <v>18573.410000000003</v>
      </c>
    </row>
    <row r="18" spans="1:6" s="28" customFormat="1" ht="15" customHeight="1" thickBot="1">
      <c r="A18" s="173" t="s">
        <v>146</v>
      </c>
      <c r="B18" s="183">
        <f>SUM(B15:B17)</f>
        <v>5266068.2700000005</v>
      </c>
      <c r="C18" s="183">
        <f>SUM(C15:C17)</f>
        <v>316375.45</v>
      </c>
      <c r="D18" s="186">
        <f>SUM(D15:D17)</f>
        <v>0</v>
      </c>
      <c r="E18" s="186">
        <f>SUM(E15:E17)</f>
        <v>0</v>
      </c>
      <c r="F18" s="185">
        <f>SUM(F15:F17)-1</f>
        <v>5582442.720000001</v>
      </c>
    </row>
    <row r="19" spans="1:6" s="28" customFormat="1" ht="15" customHeight="1" thickTop="1">
      <c r="A19" s="177"/>
      <c r="B19" s="176"/>
      <c r="C19" s="176"/>
      <c r="D19" s="176"/>
      <c r="E19" s="176"/>
      <c r="F19" s="171"/>
    </row>
    <row r="20" spans="1:6" s="28" customFormat="1" ht="30" customHeight="1">
      <c r="A20" s="178" t="s">
        <v>199</v>
      </c>
      <c r="B20" s="184"/>
      <c r="C20" s="184"/>
      <c r="D20" s="184"/>
      <c r="E20" s="184"/>
      <c r="F20" s="176"/>
    </row>
    <row r="21" spans="1:6" s="28" customFormat="1" ht="15" customHeight="1">
      <c r="A21" s="177" t="s">
        <v>149</v>
      </c>
      <c r="B21" s="29">
        <v>3104902.73</v>
      </c>
      <c r="C21" s="29">
        <v>1015778.64</v>
      </c>
      <c r="D21" s="187">
        <v>0</v>
      </c>
      <c r="E21" s="187">
        <v>0</v>
      </c>
      <c r="F21" s="29">
        <f>SUM(B21:E21)+1</f>
        <v>4120682.37</v>
      </c>
    </row>
    <row r="22" spans="1:6" s="28" customFormat="1" ht="15" customHeight="1">
      <c r="A22" s="177" t="s">
        <v>148</v>
      </c>
      <c r="B22" s="189">
        <v>1029486.57</v>
      </c>
      <c r="C22" s="188">
        <v>335142.06</v>
      </c>
      <c r="D22" s="187">
        <v>0</v>
      </c>
      <c r="E22" s="187">
        <v>0</v>
      </c>
      <c r="F22" s="29">
        <f>SUM(B22:E22)</f>
        <v>1364628.63</v>
      </c>
    </row>
    <row r="23" spans="1:6" s="28" customFormat="1" ht="15" customHeight="1">
      <c r="A23" s="177" t="s">
        <v>147</v>
      </c>
      <c r="B23" s="189">
        <v>14856.12</v>
      </c>
      <c r="C23" s="188">
        <v>3552.48</v>
      </c>
      <c r="D23" s="187">
        <v>0</v>
      </c>
      <c r="E23" s="187">
        <v>0</v>
      </c>
      <c r="F23" s="29">
        <f>SUM(B23:E23)-1</f>
        <v>18407.600000000002</v>
      </c>
    </row>
    <row r="24" spans="1:6" s="28" customFormat="1" ht="15" customHeight="1" thickBot="1">
      <c r="A24" s="173" t="s">
        <v>146</v>
      </c>
      <c r="B24" s="183">
        <f>SUM(B21:B23)+1</f>
        <v>4149246.42</v>
      </c>
      <c r="C24" s="183">
        <f>SUM(C21:C23)</f>
        <v>1354473.18</v>
      </c>
      <c r="D24" s="186">
        <f>SUM(D21:D23)</f>
        <v>0</v>
      </c>
      <c r="E24" s="186">
        <f>SUM(E21:E23)</f>
        <v>0</v>
      </c>
      <c r="F24" s="185">
        <f>SUM(F21:F23)</f>
        <v>5503718.6</v>
      </c>
    </row>
    <row r="25" spans="1:6" s="179" customFormat="1" ht="15" customHeight="1" thickTop="1">
      <c r="A25" s="181"/>
      <c r="B25" s="176"/>
      <c r="C25" s="176"/>
      <c r="D25" s="176"/>
      <c r="E25" s="176"/>
      <c r="F25" s="180"/>
    </row>
    <row r="26" spans="1:6" s="28" customFormat="1" ht="15" customHeight="1">
      <c r="A26" s="178" t="s">
        <v>150</v>
      </c>
      <c r="B26" s="176"/>
      <c r="C26" s="176"/>
      <c r="D26" s="176"/>
      <c r="E26" s="176"/>
      <c r="F26" s="176"/>
    </row>
    <row r="27" spans="1:6" s="28" customFormat="1" ht="15" customHeight="1">
      <c r="A27" s="177" t="s">
        <v>149</v>
      </c>
      <c r="B27" s="293">
        <f aca="true" t="shared" si="0" ref="B27:E29">B9-(B15-B21)</f>
        <v>1298607.65</v>
      </c>
      <c r="C27" s="29">
        <f t="shared" si="0"/>
        <v>761581.7</v>
      </c>
      <c r="D27" s="148">
        <f t="shared" si="0"/>
        <v>0</v>
      </c>
      <c r="E27" s="148">
        <f t="shared" si="0"/>
        <v>0</v>
      </c>
      <c r="F27" s="29">
        <f>SUM(B27:E27)+1</f>
        <v>2060190.3499999999</v>
      </c>
    </row>
    <row r="28" spans="1:6" s="28" customFormat="1" ht="15" customHeight="1">
      <c r="A28" s="177" t="s">
        <v>148</v>
      </c>
      <c r="B28" s="293">
        <f t="shared" si="0"/>
        <v>430251.70999999985</v>
      </c>
      <c r="C28" s="29">
        <f t="shared" si="0"/>
        <v>252038.63</v>
      </c>
      <c r="D28" s="148">
        <f t="shared" si="0"/>
        <v>0</v>
      </c>
      <c r="E28" s="148">
        <f t="shared" si="0"/>
        <v>0</v>
      </c>
      <c r="F28" s="29">
        <f>SUM(B28:E28)+1</f>
        <v>682291.3399999999</v>
      </c>
    </row>
    <row r="29" spans="1:6" s="28" customFormat="1" ht="15" customHeight="1">
      <c r="A29" s="175" t="s">
        <v>147</v>
      </c>
      <c r="B29" s="293">
        <f t="shared" si="0"/>
        <v>5911.789999999999</v>
      </c>
      <c r="C29" s="29">
        <f t="shared" si="0"/>
        <v>2810.4</v>
      </c>
      <c r="D29" s="148">
        <f t="shared" si="0"/>
        <v>0</v>
      </c>
      <c r="E29" s="148">
        <f t="shared" si="0"/>
        <v>0</v>
      </c>
      <c r="F29" s="29">
        <f>SUM(B29:E29)</f>
        <v>8722.189999999999</v>
      </c>
    </row>
    <row r="30" spans="1:6" s="28" customFormat="1" ht="15" customHeight="1" thickBot="1">
      <c r="A30" s="173" t="s">
        <v>146</v>
      </c>
      <c r="B30" s="172">
        <f>SUM(B27:B29)+1</f>
        <v>1734772.15</v>
      </c>
      <c r="C30" s="172">
        <f>SUM(C27:C29)</f>
        <v>1016430.73</v>
      </c>
      <c r="D30" s="182">
        <f>SUM(D27:D29)</f>
        <v>0</v>
      </c>
      <c r="E30" s="182">
        <f>SUM(E27:E29)</f>
        <v>0</v>
      </c>
      <c r="F30" s="172">
        <f>SUM(F27:F29)-1</f>
        <v>2751202.8799999994</v>
      </c>
    </row>
    <row r="31" spans="2:6" s="1" customFormat="1" ht="15" customHeight="1" thickTop="1">
      <c r="B31" s="171"/>
      <c r="C31" s="171"/>
      <c r="D31" s="171"/>
      <c r="E31" s="171"/>
      <c r="F31" s="171"/>
    </row>
    <row r="32" spans="1:6" s="1" customFormat="1" ht="15" customHeight="1">
      <c r="A32" s="334" t="s">
        <v>145</v>
      </c>
      <c r="B32" s="335"/>
      <c r="C32" s="335"/>
      <c r="D32" s="335"/>
      <c r="E32" s="334"/>
      <c r="F32" s="334"/>
    </row>
    <row r="33" spans="1:6" s="1" customFormat="1" ht="15" customHeight="1">
      <c r="A33" s="334"/>
      <c r="B33" s="335"/>
      <c r="C33" s="335"/>
      <c r="D33" s="335"/>
      <c r="E33" s="334"/>
      <c r="F33" s="334"/>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169" customWidth="1"/>
    <col min="2" max="6" width="18.7109375" style="170" customWidth="1"/>
    <col min="7" max="16384" width="15.7109375" style="169" customWidth="1"/>
  </cols>
  <sheetData>
    <row r="1" spans="1:6" s="204" customFormat="1" ht="30" customHeight="1">
      <c r="A1" s="207" t="s">
        <v>0</v>
      </c>
      <c r="B1" s="206"/>
      <c r="C1" s="206"/>
      <c r="D1" s="206"/>
      <c r="E1" s="206"/>
      <c r="F1" s="205"/>
    </row>
    <row r="2" spans="1:6" s="200" customFormat="1" ht="15" customHeight="1">
      <c r="A2" s="203"/>
      <c r="B2" s="202"/>
      <c r="C2" s="202"/>
      <c r="D2" s="202"/>
      <c r="E2" s="202"/>
      <c r="F2" s="201"/>
    </row>
    <row r="3" spans="1:6" ht="15" customHeight="1">
      <c r="A3" s="199" t="s">
        <v>155</v>
      </c>
      <c r="B3" s="198"/>
      <c r="C3" s="198"/>
      <c r="D3" s="198"/>
      <c r="E3" s="198"/>
      <c r="F3" s="197"/>
    </row>
    <row r="4" spans="1:6" ht="15" customHeight="1">
      <c r="A4" s="199" t="s">
        <v>196</v>
      </c>
      <c r="B4" s="198"/>
      <c r="C4" s="198"/>
      <c r="D4" s="198"/>
      <c r="E4" s="198"/>
      <c r="F4" s="197"/>
    </row>
    <row r="5" spans="1:6" s="1" customFormat="1" ht="15" customHeight="1">
      <c r="A5" s="196"/>
      <c r="B5" s="195"/>
      <c r="C5" s="195"/>
      <c r="D5" s="195"/>
      <c r="E5" s="195"/>
      <c r="F5" s="195"/>
    </row>
    <row r="6" spans="2:6" s="1" customFormat="1" ht="30" customHeight="1">
      <c r="B6" s="194" t="s">
        <v>173</v>
      </c>
      <c r="C6" s="194" t="s">
        <v>1</v>
      </c>
      <c r="D6" s="194" t="s">
        <v>2</v>
      </c>
      <c r="E6" s="194" t="s">
        <v>3</v>
      </c>
      <c r="F6" s="193" t="s">
        <v>4</v>
      </c>
    </row>
    <row r="7" spans="1:6" s="1" customFormat="1" ht="15" customHeight="1">
      <c r="A7" s="192" t="s">
        <v>154</v>
      </c>
      <c r="B7" s="195"/>
      <c r="C7" s="195"/>
      <c r="D7" s="195"/>
      <c r="E7" s="195"/>
      <c r="F7" s="195"/>
    </row>
    <row r="8" spans="1:6" s="1" customFormat="1" ht="15" customHeight="1">
      <c r="A8" s="178" t="s">
        <v>153</v>
      </c>
      <c r="B8" s="191"/>
      <c r="C8" s="191"/>
      <c r="D8" s="191"/>
      <c r="E8" s="191"/>
      <c r="F8" s="191"/>
    </row>
    <row r="9" spans="1:6" s="190" customFormat="1" ht="15" customHeight="1">
      <c r="A9" s="177" t="s">
        <v>149</v>
      </c>
      <c r="B9" s="290">
        <f>-'[1]3Q13 Trial Balance (FS)'!E208</f>
        <v>6236055</v>
      </c>
      <c r="C9" s="290">
        <f>-'[1]3Q13 Trial Balance (FS)'!E204</f>
        <v>-84165</v>
      </c>
      <c r="D9" s="290">
        <f>-'[1]3Q13 Trial Balance (FS)'!E201</f>
        <v>-86</v>
      </c>
      <c r="E9" s="148">
        <v>0</v>
      </c>
      <c r="F9" s="290">
        <f>SUM(B9:E9)</f>
        <v>6151804</v>
      </c>
    </row>
    <row r="10" spans="1:6" s="1" customFormat="1" ht="15" customHeight="1">
      <c r="A10" s="177" t="s">
        <v>148</v>
      </c>
      <c r="B10" s="27">
        <f>-'[1]3Q13 Trial Balance (FS)'!E209</f>
        <v>2085698</v>
      </c>
      <c r="C10" s="291">
        <f>-'[1]3Q13 Trial Balance (FS)'!E205</f>
        <v>-30245</v>
      </c>
      <c r="D10" s="291">
        <f>-'[1]3Q13 Trial Balance (FS)'!E202</f>
        <v>-19</v>
      </c>
      <c r="E10" s="148">
        <v>0</v>
      </c>
      <c r="F10" s="29">
        <f>SUM(B10:E10)</f>
        <v>2055434</v>
      </c>
    </row>
    <row r="11" spans="1:6" s="1" customFormat="1" ht="15" customHeight="1">
      <c r="A11" s="177" t="s">
        <v>147</v>
      </c>
      <c r="B11" s="27">
        <f>-'[1]3Q13 Trial Balance (FS)'!E210</f>
        <v>27429</v>
      </c>
      <c r="C11" s="291">
        <f>-'[1]3Q13 Trial Balance (FS)'!E206</f>
        <v>-387</v>
      </c>
      <c r="D11" s="187">
        <v>0</v>
      </c>
      <c r="E11" s="148">
        <v>0</v>
      </c>
      <c r="F11" s="29">
        <f>SUM(B11:E11)</f>
        <v>27042</v>
      </c>
    </row>
    <row r="12" spans="1:6" s="28" customFormat="1" ht="15" customHeight="1" thickBot="1">
      <c r="A12" s="173" t="s">
        <v>146</v>
      </c>
      <c r="B12" s="183">
        <f>SUM(B9:B11)</f>
        <v>8349182</v>
      </c>
      <c r="C12" s="292">
        <f>SUM(C9:C11)</f>
        <v>-114797</v>
      </c>
      <c r="D12" s="292">
        <f>SUM(D9:D11)</f>
        <v>-105</v>
      </c>
      <c r="E12" s="260">
        <f>SUM(E9:E11)</f>
        <v>0</v>
      </c>
      <c r="F12" s="185">
        <f>SUM(F9:F11)</f>
        <v>8234280</v>
      </c>
    </row>
    <row r="13" spans="1:6" s="28" customFormat="1" ht="15" customHeight="1" thickTop="1">
      <c r="A13" s="177"/>
      <c r="B13" s="176"/>
      <c r="C13" s="176"/>
      <c r="D13" s="176"/>
      <c r="E13" s="176"/>
      <c r="F13" s="171"/>
    </row>
    <row r="14" spans="1:6" s="28" customFormat="1" ht="30" customHeight="1">
      <c r="A14" s="178" t="s">
        <v>197</v>
      </c>
      <c r="B14" s="176"/>
      <c r="C14" s="176"/>
      <c r="D14" s="176"/>
      <c r="E14" s="176"/>
      <c r="F14" s="176"/>
    </row>
    <row r="15" spans="1:6" s="28" customFormat="1" ht="15" customHeight="1">
      <c r="A15" s="177" t="s">
        <v>149</v>
      </c>
      <c r="B15" s="27">
        <f>-'[1]3Q13 Trial Balance (FS)'!E68</f>
        <v>3919193.08</v>
      </c>
      <c r="C15" s="27">
        <f>-'[1]3Q13 Trial Balance (FS)'!E64</f>
        <v>239227.94</v>
      </c>
      <c r="D15" s="148">
        <v>0</v>
      </c>
      <c r="E15" s="148">
        <v>0</v>
      </c>
      <c r="F15" s="29">
        <f>SUM(B15:E15)</f>
        <v>4158421.02</v>
      </c>
    </row>
    <row r="16" spans="1:6" s="28" customFormat="1" ht="15" customHeight="1">
      <c r="A16" s="177" t="s">
        <v>152</v>
      </c>
      <c r="B16" s="27">
        <f>-'[1]3Q13 Trial Balance (FS)'!E69</f>
        <v>1328978.86</v>
      </c>
      <c r="C16" s="27">
        <f>-'[1]3Q13 Trial Balance (FS)'!E65</f>
        <v>76470.43</v>
      </c>
      <c r="D16" s="148">
        <v>0</v>
      </c>
      <c r="E16" s="148">
        <v>0</v>
      </c>
      <c r="F16" s="29">
        <f>SUM(B16:E16)</f>
        <v>1405449.29</v>
      </c>
    </row>
    <row r="17" spans="1:6" s="28" customFormat="1" ht="15" customHeight="1">
      <c r="A17" s="177" t="s">
        <v>151</v>
      </c>
      <c r="B17" s="27">
        <f>-'[1]3Q13 Trial Balance (FS)'!E70</f>
        <v>17896.33</v>
      </c>
      <c r="C17" s="27">
        <f>-'[1]3Q13 Trial Balance (FS)'!E66</f>
        <v>677.08</v>
      </c>
      <c r="D17" s="148">
        <v>0</v>
      </c>
      <c r="E17" s="148">
        <v>0</v>
      </c>
      <c r="F17" s="29">
        <f>SUM(B17:E17)</f>
        <v>18573.410000000003</v>
      </c>
    </row>
    <row r="18" spans="1:6" s="28" customFormat="1" ht="15" customHeight="1" thickBot="1">
      <c r="A18" s="173" t="s">
        <v>146</v>
      </c>
      <c r="B18" s="183">
        <f>SUM(B15:B17)</f>
        <v>5266068.2700000005</v>
      </c>
      <c r="C18" s="183">
        <f>SUM(C15:C17)</f>
        <v>316375.45</v>
      </c>
      <c r="D18" s="260">
        <f>SUM(D15:D17)</f>
        <v>0</v>
      </c>
      <c r="E18" s="260">
        <f>SUM(E15:E17)</f>
        <v>0</v>
      </c>
      <c r="F18" s="185">
        <f>SUM(F15:F17)-1</f>
        <v>5582442.720000001</v>
      </c>
    </row>
    <row r="19" spans="1:6" s="28" customFormat="1" ht="15" customHeight="1" thickTop="1">
      <c r="A19" s="177"/>
      <c r="B19" s="176"/>
      <c r="C19" s="176"/>
      <c r="D19" s="176"/>
      <c r="E19" s="176"/>
      <c r="F19" s="171"/>
    </row>
    <row r="20" spans="1:6" s="28" customFormat="1" ht="30" customHeight="1">
      <c r="A20" s="178" t="s">
        <v>176</v>
      </c>
      <c r="B20" s="184"/>
      <c r="C20" s="184"/>
      <c r="D20" s="184"/>
      <c r="E20" s="184"/>
      <c r="F20" s="176"/>
    </row>
    <row r="21" spans="1:6" s="28" customFormat="1" ht="15" customHeight="1">
      <c r="A21" s="177" t="s">
        <v>149</v>
      </c>
      <c r="B21" s="187">
        <v>0</v>
      </c>
      <c r="C21" s="188">
        <v>4155835.06</v>
      </c>
      <c r="D21" s="187">
        <v>0</v>
      </c>
      <c r="E21" s="187">
        <v>0</v>
      </c>
      <c r="F21" s="29">
        <f>SUM(B21:E21)</f>
        <v>4155835.06</v>
      </c>
    </row>
    <row r="22" spans="1:6" s="28" customFormat="1" ht="15" customHeight="1">
      <c r="A22" s="177" t="s">
        <v>148</v>
      </c>
      <c r="B22" s="187">
        <v>0</v>
      </c>
      <c r="C22" s="188">
        <v>1382422.14</v>
      </c>
      <c r="D22" s="187">
        <v>0</v>
      </c>
      <c r="E22" s="187">
        <v>0</v>
      </c>
      <c r="F22" s="29">
        <f>SUM(B22:E22)</f>
        <v>1382422.14</v>
      </c>
    </row>
    <row r="23" spans="1:6" s="28" customFormat="1" ht="15" customHeight="1">
      <c r="A23" s="177" t="s">
        <v>147</v>
      </c>
      <c r="B23" s="187">
        <v>0</v>
      </c>
      <c r="C23" s="188">
        <v>15856.23</v>
      </c>
      <c r="D23" s="187">
        <v>0</v>
      </c>
      <c r="E23" s="187">
        <v>0</v>
      </c>
      <c r="F23" s="29">
        <f>SUM(B23:E23)</f>
        <v>15856.23</v>
      </c>
    </row>
    <row r="24" spans="1:6" s="28" customFormat="1" ht="15" customHeight="1" thickBot="1">
      <c r="A24" s="173" t="s">
        <v>146</v>
      </c>
      <c r="B24" s="186">
        <f>SUM(B21:B23)</f>
        <v>0</v>
      </c>
      <c r="C24" s="183">
        <f>SUM(C21:C23)</f>
        <v>5554113.430000001</v>
      </c>
      <c r="D24" s="186">
        <f>SUM(D21:D23)</f>
        <v>0</v>
      </c>
      <c r="E24" s="186">
        <f>SUM(E21:E23)</f>
        <v>0</v>
      </c>
      <c r="F24" s="185">
        <f>SUM(F21:F23)</f>
        <v>5554113.430000001</v>
      </c>
    </row>
    <row r="25" spans="1:6" s="179" customFormat="1" ht="15" customHeight="1" thickTop="1">
      <c r="A25" s="181"/>
      <c r="B25" s="176"/>
      <c r="C25" s="176"/>
      <c r="D25" s="176"/>
      <c r="E25" s="176"/>
      <c r="F25" s="176"/>
    </row>
    <row r="26" spans="1:6" s="28" customFormat="1" ht="15" customHeight="1">
      <c r="A26" s="178" t="s">
        <v>150</v>
      </c>
      <c r="B26" s="176"/>
      <c r="C26" s="176"/>
      <c r="D26" s="176"/>
      <c r="E26" s="176"/>
      <c r="F26" s="176"/>
    </row>
    <row r="27" spans="1:6" s="28" customFormat="1" ht="15" customHeight="1">
      <c r="A27" s="177" t="s">
        <v>149</v>
      </c>
      <c r="B27" s="29">
        <f aca="true" t="shared" si="0" ref="B27:E29">B9-(B15-B21)</f>
        <v>2316861.92</v>
      </c>
      <c r="C27" s="29">
        <f t="shared" si="0"/>
        <v>3832442.12</v>
      </c>
      <c r="D27" s="291">
        <f t="shared" si="0"/>
        <v>-86</v>
      </c>
      <c r="E27" s="148">
        <f t="shared" si="0"/>
        <v>0</v>
      </c>
      <c r="F27" s="29">
        <f>SUM(B27:E27)</f>
        <v>6149218.04</v>
      </c>
    </row>
    <row r="28" spans="1:6" s="28" customFormat="1" ht="15" customHeight="1">
      <c r="A28" s="177" t="s">
        <v>148</v>
      </c>
      <c r="B28" s="29">
        <f t="shared" si="0"/>
        <v>756719.1399999999</v>
      </c>
      <c r="C28" s="29">
        <f t="shared" si="0"/>
        <v>1275706.71</v>
      </c>
      <c r="D28" s="291">
        <f t="shared" si="0"/>
        <v>-19</v>
      </c>
      <c r="E28" s="148">
        <f t="shared" si="0"/>
        <v>0</v>
      </c>
      <c r="F28" s="29">
        <f>SUM(B28:E28)</f>
        <v>2032406.8499999999</v>
      </c>
    </row>
    <row r="29" spans="1:6" s="28" customFormat="1" ht="15" customHeight="1">
      <c r="A29" s="175" t="s">
        <v>147</v>
      </c>
      <c r="B29" s="29">
        <f t="shared" si="0"/>
        <v>9532.669999999998</v>
      </c>
      <c r="C29" s="29">
        <f t="shared" si="0"/>
        <v>14792.15</v>
      </c>
      <c r="D29" s="29">
        <f t="shared" si="0"/>
        <v>0</v>
      </c>
      <c r="E29" s="148">
        <f t="shared" si="0"/>
        <v>0</v>
      </c>
      <c r="F29" s="29">
        <f>SUM(B29:E29)</f>
        <v>24324.82</v>
      </c>
    </row>
    <row r="30" spans="1:6" s="28" customFormat="1" ht="15" customHeight="1" thickBot="1">
      <c r="A30" s="173" t="s">
        <v>146</v>
      </c>
      <c r="B30" s="172">
        <f>SUM(B27:B29)</f>
        <v>3083113.7299999995</v>
      </c>
      <c r="C30" s="172">
        <f>SUM(C27:C29)</f>
        <v>5122940.98</v>
      </c>
      <c r="D30" s="172">
        <f>SUM(D27:D29)</f>
        <v>-105</v>
      </c>
      <c r="E30" s="182">
        <f>SUM(E27:E29)</f>
        <v>0</v>
      </c>
      <c r="F30" s="172">
        <f>SUM(F27:F29)</f>
        <v>8205949.71</v>
      </c>
    </row>
    <row r="31" spans="1:6" s="28" customFormat="1" ht="15" customHeight="1" thickTop="1">
      <c r="A31" s="173"/>
      <c r="B31" s="14"/>
      <c r="C31" s="14"/>
      <c r="D31" s="14"/>
      <c r="E31" s="221"/>
      <c r="F31" s="14"/>
    </row>
    <row r="32" spans="1:6" s="216" customFormat="1" ht="19.5" customHeight="1">
      <c r="A32" s="336" t="s">
        <v>216</v>
      </c>
      <c r="B32" s="336"/>
      <c r="C32" s="336"/>
      <c r="D32" s="336"/>
      <c r="E32" s="336"/>
      <c r="F32" s="336"/>
    </row>
    <row r="33" spans="1:6" s="216" customFormat="1" ht="19.5" customHeight="1">
      <c r="A33" s="336"/>
      <c r="B33" s="336"/>
      <c r="C33" s="336"/>
      <c r="D33" s="336"/>
      <c r="E33" s="336"/>
      <c r="F33" s="336"/>
    </row>
    <row r="34" spans="1:6" s="216" customFormat="1" ht="19.5" customHeight="1">
      <c r="A34" s="336"/>
      <c r="B34" s="336"/>
      <c r="C34" s="336"/>
      <c r="D34" s="336"/>
      <c r="E34" s="336"/>
      <c r="F34" s="336"/>
    </row>
    <row r="35" spans="1:6" s="216" customFormat="1" ht="15" customHeight="1">
      <c r="A35" s="208"/>
      <c r="B35" s="337" t="s">
        <v>159</v>
      </c>
      <c r="C35" s="218"/>
      <c r="D35" s="220"/>
      <c r="E35" s="337" t="s">
        <v>159</v>
      </c>
      <c r="F35" s="218"/>
    </row>
    <row r="36" spans="1:6" s="216" customFormat="1" ht="15" customHeight="1">
      <c r="A36" s="219" t="s">
        <v>158</v>
      </c>
      <c r="B36" s="337"/>
      <c r="C36" s="217" t="s">
        <v>157</v>
      </c>
      <c r="D36" s="218" t="s">
        <v>158</v>
      </c>
      <c r="E36" s="337"/>
      <c r="F36" s="217" t="s">
        <v>157</v>
      </c>
    </row>
    <row r="37" spans="1:6" ht="15" customHeight="1">
      <c r="A37" s="214" t="s">
        <v>184</v>
      </c>
      <c r="B37" s="213">
        <v>848111</v>
      </c>
      <c r="C37" s="213">
        <f>B37+147363</f>
        <v>995474</v>
      </c>
      <c r="D37" s="215" t="s">
        <v>185</v>
      </c>
      <c r="E37" s="213">
        <v>813752</v>
      </c>
      <c r="F37" s="213">
        <f>E37+138025</f>
        <v>951777</v>
      </c>
    </row>
    <row r="38" spans="1:7" ht="15" customHeight="1">
      <c r="A38" s="214" t="s">
        <v>186</v>
      </c>
      <c r="B38" s="213">
        <v>845292.1799999999</v>
      </c>
      <c r="C38" s="213">
        <f>B38+144440</f>
        <v>989732.1799999999</v>
      </c>
      <c r="D38" s="215" t="s">
        <v>215</v>
      </c>
      <c r="E38" s="213">
        <v>827225.01</v>
      </c>
      <c r="F38" s="213">
        <f>E38+134123</f>
        <v>961348.01</v>
      </c>
      <c r="G38" s="212"/>
    </row>
    <row r="39" spans="1:7" ht="15" customHeight="1">
      <c r="A39" s="214" t="s">
        <v>187</v>
      </c>
      <c r="B39" s="213">
        <v>845365.97</v>
      </c>
      <c r="C39" s="213">
        <f>B39+141933</f>
        <v>987298.97</v>
      </c>
      <c r="D39" s="215" t="s">
        <v>217</v>
      </c>
      <c r="E39" s="213">
        <v>841132.45</v>
      </c>
      <c r="F39" s="213">
        <f>132159+841132</f>
        <v>973291</v>
      </c>
      <c r="G39" s="212"/>
    </row>
    <row r="40" spans="1:7" ht="15" customHeight="1">
      <c r="A40" s="214" t="s">
        <v>188</v>
      </c>
      <c r="B40" s="213">
        <v>841685.1700000002</v>
      </c>
      <c r="C40" s="213">
        <f>B40+141618</f>
        <v>983303.1700000002</v>
      </c>
      <c r="D40" s="215"/>
      <c r="E40" s="213"/>
      <c r="F40" s="213"/>
      <c r="G40" s="212"/>
    </row>
    <row r="41" spans="1:6" s="208" customFormat="1" ht="15" customHeight="1">
      <c r="A41" s="210"/>
      <c r="B41" s="211"/>
      <c r="C41" s="211"/>
      <c r="D41" s="211"/>
      <c r="E41" s="210"/>
      <c r="F41" s="209"/>
    </row>
    <row r="42" spans="1:6" s="208" customFormat="1" ht="15" customHeight="1">
      <c r="A42" s="336" t="s">
        <v>156</v>
      </c>
      <c r="B42" s="336"/>
      <c r="C42" s="336"/>
      <c r="D42" s="336"/>
      <c r="E42" s="336"/>
      <c r="F42" s="336"/>
    </row>
    <row r="43" spans="1:6" s="208" customFormat="1" ht="15" customHeight="1">
      <c r="A43" s="336"/>
      <c r="B43" s="336"/>
      <c r="C43" s="336"/>
      <c r="D43" s="336"/>
      <c r="E43" s="336"/>
      <c r="F43" s="336"/>
    </row>
    <row r="44" spans="1:6" s="208" customFormat="1" ht="15" customHeight="1">
      <c r="A44" s="210"/>
      <c r="B44" s="211"/>
      <c r="C44" s="211"/>
      <c r="D44" s="211"/>
      <c r="E44" s="210"/>
      <c r="F44" s="209"/>
    </row>
    <row r="45" spans="1:6" s="208" customFormat="1" ht="15" customHeight="1">
      <c r="A45" s="210"/>
      <c r="B45" s="211"/>
      <c r="C45" s="211"/>
      <c r="D45" s="211"/>
      <c r="E45" s="210"/>
      <c r="F45" s="209"/>
    </row>
    <row r="46" spans="1:6" s="208" customFormat="1" ht="15" customHeight="1">
      <c r="A46" s="210"/>
      <c r="B46" s="211"/>
      <c r="C46" s="211"/>
      <c r="D46" s="211"/>
      <c r="E46" s="210"/>
      <c r="F46" s="209"/>
    </row>
    <row r="47" spans="1:6" s="208" customFormat="1" ht="15" customHeight="1">
      <c r="A47" s="210"/>
      <c r="B47" s="211"/>
      <c r="C47" s="211"/>
      <c r="D47" s="211"/>
      <c r="E47" s="210"/>
      <c r="F47" s="209"/>
    </row>
    <row r="48" spans="1:6" s="208" customFormat="1" ht="15" customHeight="1">
      <c r="A48" s="210"/>
      <c r="B48" s="211"/>
      <c r="C48" s="211"/>
      <c r="D48" s="211"/>
      <c r="E48" s="210"/>
      <c r="F48" s="209"/>
    </row>
    <row r="49" spans="1:6" s="208" customFormat="1" ht="15" customHeight="1">
      <c r="A49" s="210"/>
      <c r="B49" s="211"/>
      <c r="C49" s="211"/>
      <c r="D49" s="211"/>
      <c r="E49" s="210"/>
      <c r="F49" s="209"/>
    </row>
    <row r="50" spans="1:6" s="208" customFormat="1" ht="15" customHeight="1">
      <c r="A50" s="210"/>
      <c r="B50" s="211"/>
      <c r="C50" s="211"/>
      <c r="D50" s="211"/>
      <c r="E50" s="210"/>
      <c r="F50" s="209"/>
    </row>
    <row r="51" spans="1:6" s="208" customFormat="1" ht="15" customHeight="1">
      <c r="A51" s="210"/>
      <c r="B51" s="211"/>
      <c r="C51" s="211"/>
      <c r="D51" s="211"/>
      <c r="E51" s="210"/>
      <c r="F51" s="209"/>
    </row>
    <row r="52" spans="1:6" s="208" customFormat="1" ht="15" customHeight="1">
      <c r="A52" s="210"/>
      <c r="B52" s="211"/>
      <c r="C52" s="211"/>
      <c r="D52" s="211"/>
      <c r="E52" s="210"/>
      <c r="F52" s="209"/>
    </row>
    <row r="53" spans="1:6" s="208" customFormat="1" ht="15" customHeight="1">
      <c r="A53" s="210"/>
      <c r="B53" s="211"/>
      <c r="C53" s="211"/>
      <c r="D53" s="211"/>
      <c r="E53" s="210"/>
      <c r="F53" s="209"/>
    </row>
    <row r="54" spans="1:6" s="208" customFormat="1" ht="15" customHeight="1">
      <c r="A54" s="210"/>
      <c r="B54" s="211"/>
      <c r="C54" s="211"/>
      <c r="D54" s="211"/>
      <c r="E54" s="210"/>
      <c r="F54" s="209"/>
    </row>
    <row r="55" spans="1:6" s="208" customFormat="1" ht="15" customHeight="1">
      <c r="A55" s="210"/>
      <c r="B55" s="211"/>
      <c r="C55" s="211"/>
      <c r="D55" s="211"/>
      <c r="E55" s="210"/>
      <c r="F55" s="209"/>
    </row>
    <row r="56" spans="1:6" s="208" customFormat="1" ht="15" customHeight="1">
      <c r="A56" s="210"/>
      <c r="B56" s="211"/>
      <c r="C56" s="211"/>
      <c r="D56" s="211"/>
      <c r="E56" s="210"/>
      <c r="F56" s="209"/>
    </row>
    <row r="57" spans="1:6" s="208" customFormat="1" ht="15" customHeight="1">
      <c r="A57" s="210"/>
      <c r="B57" s="211"/>
      <c r="C57" s="211"/>
      <c r="D57" s="211"/>
      <c r="E57" s="210"/>
      <c r="F57" s="209"/>
    </row>
    <row r="58" spans="1:6" s="208" customFormat="1" ht="15" customHeight="1">
      <c r="A58" s="210"/>
      <c r="B58" s="211"/>
      <c r="C58" s="211"/>
      <c r="D58" s="211"/>
      <c r="E58" s="210"/>
      <c r="F58" s="209"/>
    </row>
  </sheetData>
  <sheetProtection/>
  <mergeCells count="4">
    <mergeCell ref="A42:F43"/>
    <mergeCell ref="A32:F34"/>
    <mergeCell ref="B35:B36"/>
    <mergeCell ref="E35:E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4" customWidth="1"/>
    <col min="2" max="4" width="16.7109375" style="223" customWidth="1"/>
    <col min="5" max="6" width="16.7109375" style="222" customWidth="1"/>
    <col min="7" max="16384" width="15.7109375" style="132" customWidth="1"/>
  </cols>
  <sheetData>
    <row r="1" spans="1:6" s="248" customFormat="1" ht="24.75" customHeight="1">
      <c r="A1" s="338" t="s">
        <v>0</v>
      </c>
      <c r="B1" s="338"/>
      <c r="C1" s="338"/>
      <c r="D1" s="338"/>
      <c r="E1" s="338"/>
      <c r="F1" s="338"/>
    </row>
    <row r="2" spans="1:6" s="247" customFormat="1" ht="15" customHeight="1">
      <c r="A2" s="225"/>
      <c r="B2" s="244"/>
      <c r="C2" s="244"/>
      <c r="D2" s="244"/>
      <c r="E2" s="244"/>
      <c r="F2" s="244"/>
    </row>
    <row r="3" spans="1:6" s="246" customFormat="1" ht="15" customHeight="1">
      <c r="A3" s="339" t="s">
        <v>168</v>
      </c>
      <c r="B3" s="339"/>
      <c r="C3" s="339"/>
      <c r="D3" s="339"/>
      <c r="E3" s="339"/>
      <c r="F3" s="339"/>
    </row>
    <row r="4" spans="1:6" s="246" customFormat="1" ht="15" customHeight="1">
      <c r="A4" s="339" t="s">
        <v>193</v>
      </c>
      <c r="B4" s="339"/>
      <c r="C4" s="339"/>
      <c r="D4" s="339"/>
      <c r="E4" s="339"/>
      <c r="F4" s="339"/>
    </row>
    <row r="5" spans="1:6" s="243" customFormat="1" ht="15" customHeight="1">
      <c r="A5" s="225"/>
      <c r="B5" s="245"/>
      <c r="C5" s="245"/>
      <c r="D5" s="245"/>
      <c r="E5" s="244"/>
      <c r="F5" s="244"/>
    </row>
    <row r="6" spans="2:6" ht="30" customHeight="1">
      <c r="B6" s="194" t="s">
        <v>173</v>
      </c>
      <c r="C6" s="194" t="s">
        <v>1</v>
      </c>
      <c r="D6" s="194" t="s">
        <v>2</v>
      </c>
      <c r="E6" s="194" t="s">
        <v>3</v>
      </c>
      <c r="F6" s="194" t="s">
        <v>4</v>
      </c>
    </row>
    <row r="7" spans="1:6" ht="15" customHeight="1">
      <c r="A7" s="237" t="s">
        <v>167</v>
      </c>
      <c r="B7" s="226"/>
      <c r="C7" s="226"/>
      <c r="D7" s="226"/>
      <c r="E7" s="226"/>
      <c r="F7" s="226"/>
    </row>
    <row r="8" spans="1:6" ht="15" customHeight="1">
      <c r="A8" s="237" t="s">
        <v>166</v>
      </c>
      <c r="B8" s="242"/>
      <c r="C8" s="242"/>
      <c r="D8" s="242"/>
      <c r="E8" s="242"/>
      <c r="F8" s="242"/>
    </row>
    <row r="9" spans="1:6" ht="15" customHeight="1">
      <c r="A9" s="235" t="s">
        <v>165</v>
      </c>
      <c r="B9" s="290">
        <f>'[2]Loss Expenses Paid QTD-15'!E21</f>
        <v>54461.52</v>
      </c>
      <c r="C9" s="290">
        <f>'[2]Loss Expenses Paid QTD-15'!E15</f>
        <v>749998.31</v>
      </c>
      <c r="D9" s="290">
        <f>'[2]Loss Expenses Paid QTD-15'!E9+'[1]3Q13 Trial Balance (FS)'!C277</f>
        <v>-13786.09</v>
      </c>
      <c r="E9" s="148">
        <v>0</v>
      </c>
      <c r="F9" s="290">
        <f>SUM(B9:E9)</f>
        <v>790673.7400000001</v>
      </c>
    </row>
    <row r="10" spans="1:6" ht="15" customHeight="1">
      <c r="A10" s="235" t="s">
        <v>148</v>
      </c>
      <c r="B10" s="27">
        <f>'[2]Loss Expenses Paid QTD-15'!E22</f>
        <v>45643.78</v>
      </c>
      <c r="C10" s="27">
        <f>'[2]Loss Expenses Paid QTD-15'!E16</f>
        <v>337183.75</v>
      </c>
      <c r="D10" s="27">
        <f>'[2]Loss Expenses Paid QTD-15'!E10+'[1]3Q13 Trial Balance (FS)'!C278</f>
        <v>55076.35</v>
      </c>
      <c r="E10" s="148">
        <v>0</v>
      </c>
      <c r="F10" s="189">
        <f>SUM(B10:E10)</f>
        <v>437903.88</v>
      </c>
    </row>
    <row r="11" spans="1:6" ht="15" customHeight="1">
      <c r="A11" s="235" t="s">
        <v>147</v>
      </c>
      <c r="B11" s="174">
        <f>'[2]Loss Expenses Paid QTD-15'!E23</f>
        <v>0</v>
      </c>
      <c r="C11" s="174">
        <f>'[2]Loss Expenses Paid QTD-15'!E17</f>
        <v>0</v>
      </c>
      <c r="D11" s="174">
        <f>'[2]Loss Expenses Paid QTD-15'!E11</f>
        <v>0</v>
      </c>
      <c r="E11" s="148">
        <v>0</v>
      </c>
      <c r="F11" s="174">
        <f>SUM(B11:E11)</f>
        <v>0</v>
      </c>
    </row>
    <row r="12" spans="1:6" ht="15" customHeight="1" thickBot="1">
      <c r="A12" s="234" t="s">
        <v>146</v>
      </c>
      <c r="B12" s="88">
        <f>SUM(B9:B11)+1</f>
        <v>100106.29999999999</v>
      </c>
      <c r="C12" s="88">
        <f>SUM(C9:C11)</f>
        <v>1087182.06</v>
      </c>
      <c r="D12" s="88">
        <f>SUM(D9:D11)</f>
        <v>41290.259999999995</v>
      </c>
      <c r="E12" s="260">
        <f>SUM(E9:E11)</f>
        <v>0</v>
      </c>
      <c r="F12" s="241">
        <f>SUM(F9:F11)</f>
        <v>1228577.62</v>
      </c>
    </row>
    <row r="13" spans="1:6" ht="15" customHeight="1" thickTop="1">
      <c r="A13" s="237"/>
      <c r="B13" s="236"/>
      <c r="C13" s="236"/>
      <c r="D13" s="236"/>
      <c r="E13" s="189"/>
      <c r="F13" s="189"/>
    </row>
    <row r="14" spans="1:6" ht="15" customHeight="1">
      <c r="A14" s="237" t="s">
        <v>201</v>
      </c>
      <c r="B14" s="236"/>
      <c r="C14" s="236"/>
      <c r="D14" s="236"/>
      <c r="E14" s="189"/>
      <c r="F14" s="189"/>
    </row>
    <row r="15" spans="1:6" ht="15" customHeight="1">
      <c r="A15" s="235" t="s">
        <v>162</v>
      </c>
      <c r="B15" s="27">
        <f>'[2]Unpaid Loss Reserves-13'!B9</f>
        <v>218466</v>
      </c>
      <c r="C15" s="27">
        <f>'[2]Unpaid Loss Reserves-13'!C9</f>
        <v>1159506.6</v>
      </c>
      <c r="D15" s="27">
        <f>'[2]Unpaid Loss Reserves-13'!D9</f>
        <v>67262.79</v>
      </c>
      <c r="E15" s="148">
        <v>0</v>
      </c>
      <c r="F15" s="189">
        <f>SUM(B15:E15)+1</f>
        <v>1445236.3900000001</v>
      </c>
    </row>
    <row r="16" spans="1:6" ht="15" customHeight="1">
      <c r="A16" s="235" t="s">
        <v>161</v>
      </c>
      <c r="B16" s="27">
        <f>'[2]Unpaid Loss Reserves-13'!B10</f>
        <v>58200</v>
      </c>
      <c r="C16" s="27">
        <f>'[2]Unpaid Loss Reserves-13'!C10</f>
        <v>223906.22</v>
      </c>
      <c r="D16" s="27">
        <f>'[2]Unpaid Loss Reserves-13'!D10</f>
        <v>20500</v>
      </c>
      <c r="E16" s="148">
        <v>0</v>
      </c>
      <c r="F16" s="189">
        <f>SUM(B16:E16)</f>
        <v>302606.22</v>
      </c>
    </row>
    <row r="17" spans="1:6" ht="15" customHeight="1">
      <c r="A17" s="235" t="s">
        <v>160</v>
      </c>
      <c r="B17" s="174">
        <f>'[2]Unpaid Loss Reserves-13'!B11</f>
        <v>0</v>
      </c>
      <c r="C17" s="174">
        <f>'[2]Unpaid Loss Reserves-13'!C11</f>
        <v>0</v>
      </c>
      <c r="D17" s="174">
        <f>'[2]Unpaid Loss Reserves-13'!D11</f>
        <v>0</v>
      </c>
      <c r="E17" s="148">
        <v>0</v>
      </c>
      <c r="F17" s="174">
        <f>SUM(B17:E17)</f>
        <v>0</v>
      </c>
    </row>
    <row r="18" spans="1:6" ht="15" customHeight="1" thickBot="1">
      <c r="A18" s="234" t="s">
        <v>146</v>
      </c>
      <c r="B18" s="88">
        <f>SUM(B15:B17)</f>
        <v>276666</v>
      </c>
      <c r="C18" s="88">
        <f>SUM(C15:C17)</f>
        <v>1383412.82</v>
      </c>
      <c r="D18" s="88">
        <f>SUM(D15:D17)</f>
        <v>87762.79</v>
      </c>
      <c r="E18" s="260">
        <f>SUM(E15:E17)</f>
        <v>0</v>
      </c>
      <c r="F18" s="241">
        <f>SUM(F15:F17)-1</f>
        <v>1747841.61</v>
      </c>
    </row>
    <row r="19" spans="1:6" ht="15" customHeight="1" thickTop="1">
      <c r="A19" s="237"/>
      <c r="B19" s="89"/>
      <c r="C19" s="89"/>
      <c r="D19" s="89"/>
      <c r="E19" s="240"/>
      <c r="F19" s="240"/>
    </row>
    <row r="20" spans="1:6" ht="15" customHeight="1">
      <c r="A20" s="237" t="s">
        <v>202</v>
      </c>
      <c r="B20" s="232"/>
      <c r="C20" s="232"/>
      <c r="D20" s="232"/>
      <c r="E20" s="232"/>
      <c r="F20" s="232"/>
    </row>
    <row r="21" spans="1:6" ht="15" customHeight="1">
      <c r="A21" s="235" t="s">
        <v>162</v>
      </c>
      <c r="B21" s="27">
        <f>'[2]Unpaid Loss Reserves-13'!B16</f>
        <v>813542.76</v>
      </c>
      <c r="C21" s="148">
        <v>0</v>
      </c>
      <c r="D21" s="148">
        <v>0</v>
      </c>
      <c r="E21" s="148">
        <v>0</v>
      </c>
      <c r="F21" s="189">
        <f>SUM(B21:E21)</f>
        <v>813542.76</v>
      </c>
    </row>
    <row r="22" spans="1:6" ht="15" customHeight="1">
      <c r="A22" s="235" t="s">
        <v>161</v>
      </c>
      <c r="B22" s="27">
        <f>'[2]Unpaid Loss Reserves-13'!B17</f>
        <v>216730.24</v>
      </c>
      <c r="C22" s="148">
        <v>0</v>
      </c>
      <c r="D22" s="148">
        <v>0</v>
      </c>
      <c r="E22" s="148">
        <v>0</v>
      </c>
      <c r="F22" s="189">
        <f>SUM(B22:E22)</f>
        <v>216730.24</v>
      </c>
    </row>
    <row r="23" spans="1:6" ht="15" customHeight="1">
      <c r="A23" s="235" t="s">
        <v>160</v>
      </c>
      <c r="B23" s="174">
        <f>'[2]Unpaid Loss Reserves-13'!B18</f>
        <v>0</v>
      </c>
      <c r="C23" s="148">
        <v>0</v>
      </c>
      <c r="D23" s="148">
        <v>0</v>
      </c>
      <c r="E23" s="148">
        <v>0</v>
      </c>
      <c r="F23" s="174">
        <f>SUM(B23:E23)</f>
        <v>0</v>
      </c>
    </row>
    <row r="24" spans="1:6" ht="15" customHeight="1" thickBot="1">
      <c r="A24" s="234" t="s">
        <v>146</v>
      </c>
      <c r="B24" s="88">
        <f>SUM(B21:B23)</f>
        <v>1030273</v>
      </c>
      <c r="C24" s="260">
        <f>SUM(C21:C23)</f>
        <v>0</v>
      </c>
      <c r="D24" s="260">
        <f>SUM(D21:D23)</f>
        <v>0</v>
      </c>
      <c r="E24" s="260">
        <f>SUM(E21:E23)</f>
        <v>0</v>
      </c>
      <c r="F24" s="241">
        <f>SUM(F21:F23)</f>
        <v>1030273</v>
      </c>
    </row>
    <row r="25" spans="1:6" ht="15" customHeight="1" thickTop="1">
      <c r="A25" s="237"/>
      <c r="B25" s="236"/>
      <c r="C25" s="236"/>
      <c r="D25" s="236"/>
      <c r="E25" s="189"/>
      <c r="F25" s="189"/>
    </row>
    <row r="26" spans="1:6" ht="15" customHeight="1">
      <c r="A26" s="237" t="s">
        <v>203</v>
      </c>
      <c r="B26" s="239"/>
      <c r="C26" s="239"/>
      <c r="D26" s="239"/>
      <c r="E26" s="189"/>
      <c r="F26" s="189"/>
    </row>
    <row r="27" spans="1:6" ht="15" customHeight="1">
      <c r="A27" s="237" t="s">
        <v>164</v>
      </c>
      <c r="B27" s="239"/>
      <c r="C27" s="239"/>
      <c r="D27" s="239"/>
      <c r="E27" s="189"/>
      <c r="F27" s="189"/>
    </row>
    <row r="28" spans="1:6" ht="15" customHeight="1">
      <c r="A28" s="235" t="s">
        <v>162</v>
      </c>
      <c r="B28" s="189">
        <v>332354.69</v>
      </c>
      <c r="C28" s="189">
        <v>1844492.29</v>
      </c>
      <c r="D28" s="189">
        <v>57262.79</v>
      </c>
      <c r="E28" s="148">
        <v>0</v>
      </c>
      <c r="F28" s="189">
        <f>SUM(B28:E28)</f>
        <v>2234109.77</v>
      </c>
    </row>
    <row r="29" spans="1:6" ht="15" customHeight="1">
      <c r="A29" s="235" t="s">
        <v>161</v>
      </c>
      <c r="B29" s="189">
        <v>306490.63</v>
      </c>
      <c r="C29" s="189">
        <v>364823.67</v>
      </c>
      <c r="D29" s="189">
        <v>57850.92</v>
      </c>
      <c r="E29" s="148">
        <v>0</v>
      </c>
      <c r="F29" s="189">
        <f>SUM(B29:E29)+1</f>
        <v>729166.2200000001</v>
      </c>
    </row>
    <row r="30" spans="1:6" ht="15" customHeight="1">
      <c r="A30" s="235" t="s">
        <v>160</v>
      </c>
      <c r="B30" s="174">
        <v>0</v>
      </c>
      <c r="C30" s="174">
        <v>0</v>
      </c>
      <c r="D30" s="174">
        <v>0</v>
      </c>
      <c r="E30" s="148">
        <v>0</v>
      </c>
      <c r="F30" s="174">
        <f>SUM(B30:E30)</f>
        <v>0</v>
      </c>
    </row>
    <row r="31" spans="1:6" ht="15" customHeight="1" thickBot="1">
      <c r="A31" s="234" t="s">
        <v>146</v>
      </c>
      <c r="B31" s="88">
        <f>SUM(B28:B30)+1</f>
        <v>638846.3200000001</v>
      </c>
      <c r="C31" s="88">
        <f>SUM(C28:C30)</f>
        <v>2209315.96</v>
      </c>
      <c r="D31" s="88">
        <f>SUM(D28:D30)</f>
        <v>115113.70999999999</v>
      </c>
      <c r="E31" s="260">
        <f>SUM(E28:E30)</f>
        <v>0</v>
      </c>
      <c r="F31" s="241">
        <f>SUM(F28:F30)</f>
        <v>2963275.99</v>
      </c>
    </row>
    <row r="32" spans="1:6" s="238" customFormat="1" ht="15" customHeight="1" thickTop="1">
      <c r="A32" s="237"/>
      <c r="B32" s="239"/>
      <c r="C32" s="239"/>
      <c r="D32" s="239"/>
      <c r="E32" s="239"/>
      <c r="F32" s="239"/>
    </row>
    <row r="33" spans="1:6" ht="15" customHeight="1">
      <c r="A33" s="237" t="s">
        <v>163</v>
      </c>
      <c r="B33" s="236"/>
      <c r="C33" s="236"/>
      <c r="D33" s="236"/>
      <c r="E33" s="189"/>
      <c r="F33" s="189"/>
    </row>
    <row r="34" spans="1:6" ht="15" customHeight="1">
      <c r="A34" s="235" t="s">
        <v>162</v>
      </c>
      <c r="B34" s="189">
        <f aca="true" t="shared" si="0" ref="B34:C36">B9+(B15+B21-B28)</f>
        <v>754115.5900000001</v>
      </c>
      <c r="C34" s="189">
        <f t="shared" si="0"/>
        <v>65012.62000000011</v>
      </c>
      <c r="D34" s="188">
        <f aca="true" t="shared" si="1" ref="D34:E36">D9+(D15+D21-D28)</f>
        <v>-3786.0900000000074</v>
      </c>
      <c r="E34" s="148">
        <f t="shared" si="1"/>
        <v>0</v>
      </c>
      <c r="F34" s="189">
        <f>SUM(B34:E34)+1</f>
        <v>815343.1200000002</v>
      </c>
    </row>
    <row r="35" spans="1:6" ht="15" customHeight="1">
      <c r="A35" s="235" t="s">
        <v>161</v>
      </c>
      <c r="B35" s="189">
        <f t="shared" si="0"/>
        <v>14083.389999999985</v>
      </c>
      <c r="C35" s="189">
        <f t="shared" si="0"/>
        <v>196266.30000000002</v>
      </c>
      <c r="D35" s="189">
        <f t="shared" si="1"/>
        <v>17725.43</v>
      </c>
      <c r="E35" s="148">
        <f t="shared" si="1"/>
        <v>0</v>
      </c>
      <c r="F35" s="189">
        <f>SUM(B35:E35)-1</f>
        <v>228074.12</v>
      </c>
    </row>
    <row r="36" spans="1:6" ht="15" customHeight="1">
      <c r="A36" s="235" t="s">
        <v>160</v>
      </c>
      <c r="B36" s="174">
        <f t="shared" si="0"/>
        <v>0</v>
      </c>
      <c r="C36" s="174">
        <f t="shared" si="0"/>
        <v>0</v>
      </c>
      <c r="D36" s="174">
        <f t="shared" si="1"/>
        <v>0</v>
      </c>
      <c r="E36" s="148">
        <f t="shared" si="1"/>
        <v>0</v>
      </c>
      <c r="F36" s="174">
        <f>SUM(B36:E36)</f>
        <v>0</v>
      </c>
    </row>
    <row r="37" spans="1:6" ht="15" customHeight="1" thickBot="1">
      <c r="A37" s="234" t="s">
        <v>146</v>
      </c>
      <c r="B37" s="233">
        <f>SUM(B34:B36)</f>
        <v>768198.9800000001</v>
      </c>
      <c r="C37" s="233">
        <f>SUM(C34:C36)</f>
        <v>261278.92000000013</v>
      </c>
      <c r="D37" s="233">
        <f>SUM(D34:D36)</f>
        <v>13939.339999999993</v>
      </c>
      <c r="E37" s="182">
        <f>SUM(E34:E36)</f>
        <v>0</v>
      </c>
      <c r="F37" s="233">
        <f>SUM(F34:F36)</f>
        <v>1043417.2400000002</v>
      </c>
    </row>
    <row r="38" spans="2:6" ht="15" customHeight="1" thickTop="1">
      <c r="B38" s="232"/>
      <c r="C38" s="232"/>
      <c r="D38" s="232"/>
      <c r="F38" s="228"/>
    </row>
    <row r="39" spans="1:6" s="227" customFormat="1" ht="15" customHeight="1">
      <c r="A39" s="231"/>
      <c r="B39" s="230"/>
      <c r="C39" s="230"/>
      <c r="D39" s="230"/>
      <c r="E39" s="229"/>
      <c r="F39" s="228"/>
    </row>
    <row r="40" spans="2:4" ht="15" customHeight="1">
      <c r="B40" s="226"/>
      <c r="C40" s="226"/>
      <c r="D40" s="226"/>
    </row>
    <row r="41" spans="2:4" ht="15" customHeight="1">
      <c r="B41" s="226"/>
      <c r="C41" s="226"/>
      <c r="D41" s="226"/>
    </row>
    <row r="42" spans="2:4" ht="15" customHeight="1">
      <c r="B42" s="226"/>
      <c r="C42" s="226"/>
      <c r="D42" s="226"/>
    </row>
    <row r="43" spans="1:4" ht="15" customHeight="1">
      <c r="A43" s="225"/>
      <c r="B43" s="226"/>
      <c r="C43" s="226"/>
      <c r="D43" s="226"/>
    </row>
    <row r="44" spans="1:4" ht="15" customHeight="1">
      <c r="A44" s="225"/>
      <c r="B44" s="226"/>
      <c r="C44" s="226"/>
      <c r="D44" s="226"/>
    </row>
    <row r="45" spans="1:4" ht="15" customHeight="1">
      <c r="A45" s="225"/>
      <c r="B45" s="226"/>
      <c r="C45" s="226"/>
      <c r="D45" s="226"/>
    </row>
    <row r="46" spans="1:4" ht="15" customHeight="1">
      <c r="A46" s="225"/>
      <c r="B46" s="226"/>
      <c r="C46" s="226"/>
      <c r="D46" s="226"/>
    </row>
    <row r="47" spans="1:4" ht="15" customHeight="1">
      <c r="A47" s="225"/>
      <c r="B47" s="226"/>
      <c r="C47" s="226"/>
      <c r="D47" s="226"/>
    </row>
    <row r="48" spans="1:4" ht="15" customHeight="1">
      <c r="A48" s="225"/>
      <c r="B48" s="226"/>
      <c r="C48" s="226"/>
      <c r="D48" s="226"/>
    </row>
    <row r="49" spans="1:4" s="132" customFormat="1" ht="15" customHeight="1">
      <c r="A49" s="225"/>
      <c r="B49" s="226"/>
      <c r="C49" s="226"/>
      <c r="D49" s="226"/>
    </row>
    <row r="50" spans="1:4" s="132" customFormat="1" ht="15" customHeight="1">
      <c r="A50" s="225"/>
      <c r="B50" s="226"/>
      <c r="C50" s="226"/>
      <c r="D50" s="226"/>
    </row>
    <row r="51" spans="1:4" s="132" customFormat="1" ht="15" customHeight="1">
      <c r="A51" s="225"/>
      <c r="B51" s="226"/>
      <c r="C51" s="226"/>
      <c r="D51" s="226"/>
    </row>
    <row r="52" spans="1:4" s="132" customFormat="1" ht="15" customHeight="1">
      <c r="A52" s="225"/>
      <c r="B52" s="226"/>
      <c r="C52" s="226"/>
      <c r="D52" s="226"/>
    </row>
    <row r="53" spans="1:4" s="132" customFormat="1" ht="15" customHeight="1">
      <c r="A53" s="225"/>
      <c r="B53" s="226"/>
      <c r="C53" s="226"/>
      <c r="D53" s="226"/>
    </row>
    <row r="54" spans="1:4" s="132" customFormat="1" ht="15" customHeight="1">
      <c r="A54" s="225"/>
      <c r="B54" s="226"/>
      <c r="C54" s="226"/>
      <c r="D54" s="226"/>
    </row>
    <row r="55" spans="1:4" s="132" customFormat="1" ht="15" customHeight="1">
      <c r="A55" s="225"/>
      <c r="B55" s="223"/>
      <c r="C55" s="223"/>
      <c r="D55" s="223"/>
    </row>
    <row r="56" spans="1:4" s="132" customFormat="1" ht="15" customHeight="1">
      <c r="A56" s="225"/>
      <c r="B56" s="223"/>
      <c r="C56" s="223"/>
      <c r="D56" s="223"/>
    </row>
    <row r="57" spans="1:4" s="132" customFormat="1" ht="15" customHeight="1">
      <c r="A57" s="225"/>
      <c r="B57" s="223"/>
      <c r="C57" s="223"/>
      <c r="D57" s="223"/>
    </row>
    <row r="58" spans="1:4" s="132" customFormat="1" ht="15" customHeight="1">
      <c r="A58" s="225"/>
      <c r="B58" s="223"/>
      <c r="C58" s="223"/>
      <c r="D58" s="223"/>
    </row>
    <row r="59" spans="1:4" s="132" customFormat="1" ht="15" customHeight="1">
      <c r="A59" s="225"/>
      <c r="B59" s="223"/>
      <c r="C59" s="223"/>
      <c r="D59" s="223"/>
    </row>
    <row r="60" spans="1:4" s="132" customFormat="1" ht="15" customHeight="1">
      <c r="A60" s="225"/>
      <c r="B60" s="223"/>
      <c r="C60" s="223"/>
      <c r="D60" s="223"/>
    </row>
    <row r="61" spans="1:4" s="132" customFormat="1" ht="15" customHeight="1">
      <c r="A61" s="225"/>
      <c r="B61" s="223"/>
      <c r="C61" s="223"/>
      <c r="D61" s="223"/>
    </row>
    <row r="62" spans="1:4" s="132" customFormat="1" ht="15" customHeight="1">
      <c r="A62" s="225"/>
      <c r="B62" s="223"/>
      <c r="C62" s="223"/>
      <c r="D62" s="223"/>
    </row>
    <row r="63" spans="1:4" s="132" customFormat="1" ht="15" customHeight="1">
      <c r="A63" s="225"/>
      <c r="B63" s="223"/>
      <c r="C63" s="223"/>
      <c r="D63" s="223"/>
    </row>
    <row r="64" spans="1:4" s="132" customFormat="1" ht="15" customHeight="1">
      <c r="A64" s="225"/>
      <c r="B64" s="223"/>
      <c r="C64" s="223"/>
      <c r="D64" s="223"/>
    </row>
    <row r="65" s="132" customFormat="1" ht="15" customHeight="1">
      <c r="A65" s="225"/>
    </row>
    <row r="66" s="132" customFormat="1" ht="15" customHeight="1">
      <c r="A66" s="225"/>
    </row>
    <row r="67" s="132" customFormat="1" ht="15" customHeight="1">
      <c r="A67" s="225"/>
    </row>
    <row r="68" s="132" customFormat="1" ht="15" customHeight="1">
      <c r="A68" s="225"/>
    </row>
    <row r="69" s="132" customFormat="1" ht="15" customHeight="1">
      <c r="A69" s="225"/>
    </row>
    <row r="70" s="132" customFormat="1" ht="15" customHeight="1">
      <c r="A70" s="225"/>
    </row>
    <row r="71" s="132" customFormat="1" ht="15" customHeight="1">
      <c r="A71" s="225"/>
    </row>
    <row r="72" s="132" customFormat="1" ht="15" customHeight="1">
      <c r="A72" s="225"/>
    </row>
    <row r="73" s="132" customFormat="1" ht="15" customHeight="1">
      <c r="A73" s="225"/>
    </row>
    <row r="74" s="132" customFormat="1" ht="15" customHeight="1">
      <c r="A74" s="225"/>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aabrams</dc:creator>
  <cp:keywords/>
  <dc:description/>
  <cp:lastModifiedBy>aabrams</cp:lastModifiedBy>
  <cp:lastPrinted>2013-10-29T13:21:49Z</cp:lastPrinted>
  <dcterms:created xsi:type="dcterms:W3CDTF">2013-07-30T13:21:23Z</dcterms:created>
  <dcterms:modified xsi:type="dcterms:W3CDTF">2013-11-11T13:54:22Z</dcterms:modified>
  <cp:category/>
  <cp:version/>
  <cp:contentType/>
  <cp:contentStatus/>
</cp:coreProperties>
</file>